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K Sorange New\Desktop\BACKUP. MARIA\CARPETA INCART-TRABAJOS DIARIOS\2021\8. CONTABILIDAD AGOSTO\"/>
    </mc:Choice>
  </mc:AlternateContent>
  <bookViews>
    <workbookView xWindow="0" yWindow="0" windowWidth="20490" windowHeight="7455"/>
  </bookViews>
  <sheets>
    <sheet name="Ejecución PortaL AGOSTO" sheetId="1" r:id="rId1"/>
  </sheets>
  <definedNames>
    <definedName name="_xlnm.Print_Area" localSheetId="0">'Ejecución PortaL AGOSTO'!$A$1:$O$122</definedName>
    <definedName name="_xlnm.Print_Titles" localSheetId="0">'Ejecución PortaL AGOSTO'!$1:$7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1" l="1"/>
  <c r="J20" i="1"/>
  <c r="I58" i="1" l="1"/>
  <c r="I40" i="1"/>
  <c r="I37" i="1"/>
  <c r="I36" i="1"/>
  <c r="I35" i="1"/>
  <c r="I28" i="1"/>
  <c r="I27" i="1"/>
  <c r="I21" i="1"/>
  <c r="I19" i="1"/>
  <c r="I16" i="1"/>
  <c r="I15" i="1" l="1"/>
  <c r="G16" i="1" l="1"/>
  <c r="H28" i="1" l="1"/>
  <c r="H27" i="1"/>
  <c r="H40" i="1" l="1"/>
  <c r="H16" i="1"/>
  <c r="H33" i="1"/>
  <c r="H21" i="1"/>
  <c r="H19" i="1"/>
  <c r="H15" i="1"/>
  <c r="G28" i="1" l="1"/>
  <c r="G20" i="1" s="1"/>
  <c r="G27" i="1"/>
  <c r="G58" i="1"/>
  <c r="G19" i="1"/>
  <c r="G15" i="1"/>
  <c r="F60" i="1" l="1"/>
  <c r="F58" i="1"/>
  <c r="F40" i="1"/>
  <c r="F37" i="1"/>
  <c r="F36" i="1"/>
  <c r="F35" i="1"/>
  <c r="F33" i="1"/>
  <c r="F32" i="1"/>
  <c r="F28" i="1"/>
  <c r="F27" i="1"/>
  <c r="F24" i="1"/>
  <c r="F22" i="1"/>
  <c r="F19" i="1"/>
  <c r="F16" i="1"/>
  <c r="F15" i="1"/>
  <c r="E28" i="1"/>
  <c r="E65" i="1"/>
  <c r="E58" i="1"/>
  <c r="E40" i="1"/>
  <c r="E37" i="1"/>
  <c r="E36" i="1"/>
  <c r="E33" i="1"/>
  <c r="E27" i="1"/>
  <c r="E21" i="1"/>
  <c r="E19" i="1"/>
  <c r="D16" i="1"/>
  <c r="E16" i="1"/>
  <c r="E15" i="1"/>
  <c r="E14" i="1" l="1"/>
  <c r="D19" i="1"/>
  <c r="D40" i="1"/>
  <c r="D37" i="1"/>
  <c r="D36" i="1"/>
  <c r="D35" i="1"/>
  <c r="D32" i="1"/>
  <c r="D28" i="1"/>
  <c r="C28" i="1" s="1"/>
  <c r="C22" i="1"/>
  <c r="C23" i="1"/>
  <c r="C24" i="1"/>
  <c r="C27" i="1"/>
  <c r="L20" i="1" l="1"/>
  <c r="M57" i="1" l="1"/>
  <c r="N57" i="1"/>
  <c r="O57" i="1"/>
  <c r="M30" i="1"/>
  <c r="N30" i="1"/>
  <c r="O30" i="1"/>
  <c r="M20" i="1"/>
  <c r="N20" i="1"/>
  <c r="O20" i="1"/>
  <c r="M14" i="1"/>
  <c r="N14" i="1"/>
  <c r="O14" i="1"/>
  <c r="L57" i="1"/>
  <c r="L30" i="1"/>
  <c r="D57" i="1"/>
  <c r="F57" i="1"/>
  <c r="G57" i="1"/>
  <c r="F30" i="1"/>
  <c r="G30" i="1"/>
  <c r="D20" i="1"/>
  <c r="F20" i="1"/>
  <c r="F14" i="1"/>
  <c r="G14" i="1"/>
  <c r="L14" i="1"/>
  <c r="O67" i="1"/>
  <c r="O72" i="1"/>
  <c r="C72" i="1" s="1"/>
  <c r="O75" i="1"/>
  <c r="N67" i="1"/>
  <c r="M67" i="1"/>
  <c r="L67" i="1"/>
  <c r="K67" i="1"/>
  <c r="J67" i="1"/>
  <c r="I67" i="1"/>
  <c r="H67" i="1"/>
  <c r="G67" i="1"/>
  <c r="F67" i="1"/>
  <c r="E67" i="1"/>
  <c r="D67" i="1"/>
  <c r="C42" i="1"/>
  <c r="C91" i="1"/>
  <c r="C17" i="1"/>
  <c r="C18" i="1"/>
  <c r="C25" i="1"/>
  <c r="C26" i="1"/>
  <c r="C29" i="1"/>
  <c r="C38" i="1"/>
  <c r="C39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9" i="1"/>
  <c r="C61" i="1"/>
  <c r="C63" i="1"/>
  <c r="C64" i="1"/>
  <c r="C65" i="1"/>
  <c r="C66" i="1"/>
  <c r="C68" i="1"/>
  <c r="C69" i="1"/>
  <c r="C70" i="1"/>
  <c r="C71" i="1"/>
  <c r="C73" i="1"/>
  <c r="C74" i="1"/>
  <c r="C75" i="1"/>
  <c r="C76" i="1"/>
  <c r="C77" i="1"/>
  <c r="C78" i="1"/>
  <c r="C80" i="1"/>
  <c r="C81" i="1"/>
  <c r="C82" i="1"/>
  <c r="C83" i="1"/>
  <c r="C84" i="1"/>
  <c r="C85" i="1"/>
  <c r="C86" i="1"/>
  <c r="C87" i="1"/>
  <c r="C88" i="1"/>
  <c r="C89" i="1"/>
  <c r="C13" i="1"/>
  <c r="C67" i="1" l="1"/>
  <c r="O79" i="1"/>
  <c r="N79" i="1"/>
  <c r="M79" i="1"/>
  <c r="M92" i="1" s="1"/>
  <c r="C41" i="1"/>
  <c r="G79" i="1"/>
  <c r="G92" i="1" s="1"/>
  <c r="L79" i="1"/>
  <c r="F79" i="1"/>
  <c r="F92" i="1" s="1"/>
  <c r="K14" i="1"/>
  <c r="L92" i="1" l="1"/>
  <c r="K57" i="1" l="1"/>
  <c r="K30" i="1"/>
  <c r="K79" i="1" l="1"/>
  <c r="K92" i="1" s="1"/>
  <c r="C21" i="1"/>
  <c r="J30" i="1" l="1"/>
  <c r="J57" i="1" l="1"/>
  <c r="C58" i="1"/>
  <c r="J14" i="1"/>
  <c r="J79" i="1" l="1"/>
  <c r="J92" i="1" s="1"/>
  <c r="C60" i="1" l="1"/>
  <c r="I14" i="1"/>
  <c r="C14" i="1" s="1"/>
  <c r="I57" i="1" l="1"/>
  <c r="C36" i="1" l="1"/>
  <c r="C33" i="1"/>
  <c r="I20" i="1" l="1"/>
  <c r="I30" i="1"/>
  <c r="I79" i="1" l="1"/>
  <c r="I92" i="1" s="1"/>
  <c r="E20" i="1"/>
  <c r="H30" i="1"/>
  <c r="H14" i="1"/>
  <c r="H20" i="1"/>
  <c r="H57" i="1"/>
  <c r="C34" i="1"/>
  <c r="E57" i="1"/>
  <c r="C37" i="1"/>
  <c r="C35" i="1"/>
  <c r="C62" i="1" l="1"/>
  <c r="C20" i="1"/>
  <c r="H79" i="1"/>
  <c r="H92" i="1" s="1"/>
  <c r="C57" i="1"/>
  <c r="C32" i="1"/>
  <c r="C16" i="1"/>
  <c r="E30" i="1" l="1"/>
  <c r="E79" i="1" s="1"/>
  <c r="E92" i="1" s="1"/>
  <c r="C31" i="1"/>
  <c r="C19" i="1" l="1"/>
  <c r="D14" i="1" l="1"/>
  <c r="C15" i="1"/>
  <c r="D30" i="1"/>
  <c r="C40" i="1"/>
  <c r="O90" i="1"/>
  <c r="N90" i="1"/>
  <c r="C90" i="1" l="1"/>
  <c r="N92" i="1"/>
  <c r="D79" i="1"/>
  <c r="D92" i="1" s="1"/>
  <c r="C92" i="1" s="1"/>
  <c r="C30" i="1"/>
  <c r="O92" i="1"/>
  <c r="C79" i="1" l="1"/>
  <c r="K100" i="1"/>
</calcChain>
</file>

<file path=xl/sharedStrings.xml><?xml version="1.0" encoding="utf-8"?>
<sst xmlns="http://schemas.openxmlformats.org/spreadsheetml/2006/main" count="113" uniqueCount="109">
  <si>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</si>
  <si>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</si>
  <si>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</si>
  <si>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</si>
  <si>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</si>
  <si>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</si>
  <si>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</si>
  <si>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</si>
  <si>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</si>
  <si>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</si>
  <si>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</si>
  <si>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</si>
  <si>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</si>
  <si>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</si>
  <si>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</si>
  <si>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</si>
  <si>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</si>
  <si>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</si>
  <si>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</si>
  <si>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</si>
  <si>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</si>
  <si>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</si>
  <si>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</si>
  <si>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</si>
  <si>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</si>
  <si>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</si>
  <si>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</si>
  <si>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</si>
  <si>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</si>
  <si>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</si>
  <si>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</si>
  <si>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</si>
  <si>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</si>
  <si>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</si>
  <si>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</si>
  <si>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</si>
  <si>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</si>
  <si>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</si>
  <si>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</si>
  <si>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</si>
  <si>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</si>
  <si>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</si>
  <si>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</si>
  <si>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</si>
  <si>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</si>
  <si>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</si>
  <si>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</si>
  <si>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</si>
  <si>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</si>
  <si>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</si>
  <si>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</si>
  <si>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</si>
  <si>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</si>
  <si>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</si>
  <si>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</si>
  <si>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</si>
  <si>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</si>
  <si>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</si>
  <si>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</si>
  <si>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</si>
  <si>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</si>
  <si>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</si>
  <si>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</si>
  <si>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</si>
  <si>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</si>
  <si>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</si>
  <si>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</si>
  <si>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</si>
  <si>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</si>
  <si>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</si>
  <si>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</si>
  <si>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</si>
  <si>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</si>
  <si>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</si>
  <si>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</si>
  <si>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</si>
  <si>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</si>
  <si>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</si>
  <si>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</si>
  <si>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</si>
  <si>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</si>
  <si>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</si>
  <si>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</si>
  <si>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</si>
  <si>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</si>
  <si>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</si>
  <si>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</si>
  <si>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</si>
  <si>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</si>
  <si>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</si>
  <si>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</si>
  <si>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</si>
  <si>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</si>
  <si>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</si>
  <si>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</si>
  <si>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</si>
  <si>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</si>
  <si>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</si>
  <si>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</si>
  <si>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</si>
  <si>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Licda. Lissete Hernández 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</si>
  <si>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</si>
  <si>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</si>
  <si>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</si>
  <si>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</si>
  <si>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</si>
  <si>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Licda. María Rojas</t>
  </si>
  <si>
    <t>2.3.7.9-Otros Productos Quimicos y Conexos</t>
  </si>
  <si>
    <t>Revisado por: Contadora General Interina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</si>
</sst>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18" fillId="0" borderId="0" xfId="0" applyNumberFormat="1" applyFont="1"/>
    <xf numFmtId="43" fontId="18" fillId="0" borderId="0" xfId="0" applyNumberFormat="1" applyFont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134469</xdr:colOff>
      <xdr:row>1</xdr:row>
      <xdr:rowOff>168088</xdr:rowOff>
    </xdr:from>
    <xdr:to>
      <xdr:col>13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12:O94" totalsRowCount="1" headerRowDxfId="26" dataDxfId="25" headerRowCellStyle="Millares" dataCellStyle="Millares">
  <autoFilter ref="B12:O93"/>
  <tableColumns count="14">
    <tableColumn id="1" name="Detalle"/>
    <tableColumn id="2" name="Total " dataDxfId="24" totalsRowDxfId="12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</calculatedColumnFormula>
    </tableColumn>
    <tableColumn id="3" name="Enero " totalsRowDxfId="11" dataCellStyle="Millares"/>
    <tableColumn id="4" name="Febrero " dataDxfId="23" totalsRowDxfId="10" dataCellStyle="Millares"/>
    <tableColumn id="5" name="Marzo" dataDxfId="22" totalsRowDxfId="9" dataCellStyle="Millares"/>
    <tableColumn id="6" name="Abril" dataDxfId="21" totalsRowDxfId="8" dataCellStyle="Millares"/>
    <tableColumn id="7" name="Mayo" dataDxfId="20" totalsRowDxfId="7" dataCellStyle="Millares"/>
    <tableColumn id="8" name="Junio" dataDxfId="19" totalsRowDxfId="6" dataCellStyle="Millares"/>
    <tableColumn id="9" name="Julio" dataDxfId="18" totalsRowDxfId="5" dataCellStyle="Millares"/>
    <tableColumn id="10" name="Agosto" dataDxfId="17" totalsRowDxfId="4" dataCellStyle="Millares"/>
    <tableColumn id="11" name="Septiembre" dataDxfId="16" totalsRowDxfId="3" dataCellStyle="Millares"/>
    <tableColumn id="12" name="Octubre " dataDxfId="15" totalsRowDxfId="2" dataCellStyle="Millares"/>
    <tableColumn id="13" name="Noviembre" dataDxfId="14" totalsRowDxfId="1" dataCellStyle="Millares"/>
    <tableColumn id="14" name="Diciembre" dataDxfId="13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68"/>
  <sheetViews>
    <sheetView showGridLines="0" tabSelected="1" view="pageBreakPreview" topLeftCell="E85" zoomScale="85" zoomScaleNormal="85" zoomScaleSheetLayoutView="85" workbookViewId="0">
      <selection activeCell="K40" sqref="K40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3.28515625" bestFit="1" customWidth="1"/>
    <col min="4" max="4" width="20.7109375" style="2" customWidth="1"/>
    <col min="5" max="5" width="20.7109375" style="20" customWidth="1"/>
    <col min="6" max="6" width="20.7109375" style="2" customWidth="1"/>
    <col min="7" max="10" width="20.7109375" style="3" customWidth="1"/>
    <col min="11" max="11" width="21.7109375" style="3" customWidth="1"/>
    <col min="12" max="12" width="26.140625" style="3" bestFit="1" customWidth="1"/>
    <col min="13" max="13" width="21.140625" style="3" customWidth="1"/>
    <col min="14" max="14" width="20.28515625" style="3" customWidth="1"/>
    <col min="15" max="15" width="21.7109375" style="3" customWidth="1"/>
  </cols>
  <sheetData>
    <row r="1" spans="2:15" ht="18" x14ac:dyDescent="0.25">
      <c r="B1" s="67" t="s">
        <v>103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2:15" ht="18" x14ac:dyDescent="0.25"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2:15" ht="18.75" customHeight="1" x14ac:dyDescent="0.25">
      <c r="B3" s="67" t="s">
        <v>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2:15" ht="18.75" customHeight="1" x14ac:dyDescent="0.25">
      <c r="B4" s="67" t="s">
        <v>105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2:15" ht="15" customHeight="1" x14ac:dyDescent="0.25">
      <c r="B5" s="68" t="s">
        <v>2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2:15" ht="15" customHeight="1" x14ac:dyDescent="0.25">
      <c r="B6" s="69">
        <v>44439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2:15" x14ac:dyDescent="0.25">
      <c r="B7" s="68" t="s">
        <v>3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</row>
    <row r="9" spans="2:15" x14ac:dyDescent="0.25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</row>
    <row r="10" spans="2:15" x14ac:dyDescent="0.25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2:15" x14ac:dyDescent="0.25">
      <c r="B11" s="1"/>
      <c r="C11" s="1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</row>
    <row r="12" spans="2:15" ht="15.75" x14ac:dyDescent="0.25">
      <c r="B12" s="23" t="s">
        <v>4</v>
      </c>
      <c r="C12" s="24" t="s">
        <v>5</v>
      </c>
      <c r="D12" s="25" t="s">
        <v>6</v>
      </c>
      <c r="E12" s="25" t="s">
        <v>7</v>
      </c>
      <c r="F12" s="25" t="s">
        <v>8</v>
      </c>
      <c r="G12" s="25" t="s">
        <v>9</v>
      </c>
      <c r="H12" s="25" t="s">
        <v>102</v>
      </c>
      <c r="I12" s="25" t="s">
        <v>10</v>
      </c>
      <c r="J12" s="25" t="s">
        <v>11</v>
      </c>
      <c r="K12" s="25" t="s">
        <v>12</v>
      </c>
      <c r="L12" s="25" t="s">
        <v>13</v>
      </c>
      <c r="M12" s="25" t="s">
        <v>14</v>
      </c>
      <c r="N12" s="25" t="s">
        <v>15</v>
      </c>
      <c r="O12" s="25" t="s">
        <v>16</v>
      </c>
    </row>
    <row r="13" spans="2:15" x14ac:dyDescent="0.25">
      <c r="B13" s="40" t="s">
        <v>17</v>
      </c>
      <c r="C1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2:15" ht="27.75" customHeight="1" x14ac:dyDescent="0.25">
      <c r="B14" s="40" t="s">
        <v>18</v>
      </c>
      <c r="C1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341168673.00999999</v>
      </c>
      <c r="D14" s="42">
        <f t="shared" ref="D14:L14" si="0">+D15+D16+D19+D17+D18</f>
        <v>35355909.769999996</v>
      </c>
      <c r="E14" s="42">
        <f t="shared" si="0"/>
        <v>35189877.689999998</v>
      </c>
      <c r="F14" s="42">
        <f t="shared" si="0"/>
        <v>38278843.859999999</v>
      </c>
      <c r="G14" s="42">
        <f t="shared" si="0"/>
        <v>35550104</v>
      </c>
      <c r="H14" s="42">
        <f t="shared" si="0"/>
        <v>60769618.869999997</v>
      </c>
      <c r="I14" s="42">
        <f t="shared" si="0"/>
        <v>47795313.849999994</v>
      </c>
      <c r="J14" s="42">
        <f t="shared" si="0"/>
        <v>45492631.739999995</v>
      </c>
      <c r="K14" s="42">
        <f t="shared" si="0"/>
        <v>42736373.229999997</v>
      </c>
      <c r="L14" s="42">
        <f t="shared" si="0"/>
        <v>0</v>
      </c>
      <c r="M14" s="42">
        <f t="shared" ref="M14" si="1">+M15+M16+M19+M17+M18</f>
        <v>0</v>
      </c>
      <c r="N14" s="42">
        <f t="shared" ref="N14" si="2">+N15+N16+N19+N17+N18</f>
        <v>0</v>
      </c>
      <c r="O14" s="42">
        <f t="shared" ref="O14" si="3">+O15+O16+O19+O17+O18</f>
        <v>0</v>
      </c>
    </row>
    <row r="15" spans="2:15" x14ac:dyDescent="0.25">
      <c r="B15" s="43" t="s">
        <v>19</v>
      </c>
      <c r="C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275332554.58999997</v>
      </c>
      <c r="D15" s="45">
        <v>30529855.359999999</v>
      </c>
      <c r="E15" s="45">
        <f>461754.34+29985361.02</f>
        <v>30447115.359999999</v>
      </c>
      <c r="F15" s="46">
        <f>30617335.73+559462.27+154000+1932669.11</f>
        <v>33263467.109999999</v>
      </c>
      <c r="G15" s="47">
        <f>30000828.06+805109.35</f>
        <v>30805937.41</v>
      </c>
      <c r="H15" s="47">
        <f>31742203.57+652088.33+370850+169885.8</f>
        <v>32935027.699999999</v>
      </c>
      <c r="I15" s="47">
        <f>39175351.82+1266273.83+229919.24</f>
        <v>40671544.890000001</v>
      </c>
      <c r="J15" s="47">
        <v>39727203.359999999</v>
      </c>
      <c r="K15" s="47">
        <v>36952403.399999999</v>
      </c>
      <c r="L15" s="47">
        <v>0</v>
      </c>
      <c r="M15" s="47">
        <v>0</v>
      </c>
      <c r="N15" s="47">
        <v>0</v>
      </c>
      <c r="O15" s="47">
        <v>0</v>
      </c>
    </row>
    <row r="16" spans="2:15" x14ac:dyDescent="0.25">
      <c r="B16" s="43" t="s">
        <v>20</v>
      </c>
      <c r="C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25451822.150000002</v>
      </c>
      <c r="D16" s="45">
        <f>75000+81000</f>
        <v>156000</v>
      </c>
      <c r="E16" s="45">
        <f>125000+31000</f>
        <v>156000</v>
      </c>
      <c r="F16" s="46">
        <f>51000+281666.67</f>
        <v>332666.67</v>
      </c>
      <c r="G16" s="47">
        <f>125000+31000</f>
        <v>156000</v>
      </c>
      <c r="H16" s="47">
        <f>22823247.85+125000+31000</f>
        <v>22979247.850000001</v>
      </c>
      <c r="I16" s="47">
        <f>1001979.69+125000</f>
        <v>1126979.69</v>
      </c>
      <c r="J16" s="47">
        <v>272463.96999999997</v>
      </c>
      <c r="K16" s="47">
        <v>272463.96999999997</v>
      </c>
      <c r="L16" s="47">
        <v>0</v>
      </c>
      <c r="M16" s="47">
        <v>0</v>
      </c>
      <c r="N16" s="47">
        <v>0</v>
      </c>
      <c r="O16" s="47">
        <v>0</v>
      </c>
    </row>
    <row r="17" spans="2:15" x14ac:dyDescent="0.25">
      <c r="B17" s="43" t="s">
        <v>21</v>
      </c>
      <c r="C1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7" s="45">
        <v>0</v>
      </c>
      <c r="E17" s="45">
        <v>0</v>
      </c>
      <c r="F17" s="46"/>
      <c r="G17" s="47"/>
      <c r="H17" s="47">
        <v>0</v>
      </c>
      <c r="I17" s="47"/>
      <c r="J17" s="47"/>
      <c r="K17" s="47"/>
      <c r="L17" s="47"/>
      <c r="M17" s="47"/>
      <c r="N17" s="47"/>
      <c r="O17" s="47"/>
    </row>
    <row r="18" spans="2:15" x14ac:dyDescent="0.25">
      <c r="B18" s="43" t="s">
        <v>22</v>
      </c>
      <c r="C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8" s="45">
        <v>0</v>
      </c>
      <c r="E18" s="45">
        <v>0</v>
      </c>
      <c r="F18" s="46"/>
      <c r="G18" s="47"/>
      <c r="H18" s="47">
        <v>0</v>
      </c>
      <c r="I18" s="47"/>
      <c r="J18" s="47"/>
      <c r="K18" s="47">
        <v>0</v>
      </c>
      <c r="L18" s="47"/>
      <c r="M18" s="47"/>
      <c r="N18" s="47"/>
      <c r="O18" s="47"/>
    </row>
    <row r="19" spans="2:15" x14ac:dyDescent="0.25">
      <c r="B19" s="43" t="s">
        <v>23</v>
      </c>
      <c r="C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40384296.269999996</v>
      </c>
      <c r="D19" s="45">
        <f>2160300.69+2167620.69+342133.03</f>
        <v>4670054.41</v>
      </c>
      <c r="E19" s="45">
        <f>2121696.01+2128961.5+336104.82</f>
        <v>4586762.33</v>
      </c>
      <c r="F19" s="46">
        <f>2166503.03+2173831.69+342375.36</f>
        <v>4682710.08</v>
      </c>
      <c r="G19" s="47">
        <f>2122792.61+2130059.65+335314.33</f>
        <v>4588166.59</v>
      </c>
      <c r="H19" s="47">
        <f>2246256.19+2253697.31+355389.82</f>
        <v>4855343.32</v>
      </c>
      <c r="I19" s="47">
        <f>2773266.42+2781451.01+442071.84</f>
        <v>5996789.2699999996</v>
      </c>
      <c r="J19" s="47">
        <v>5492964.4100000001</v>
      </c>
      <c r="K19" s="47">
        <v>5511505.8600000003</v>
      </c>
      <c r="L19" s="47">
        <v>0</v>
      </c>
      <c r="M19" s="47">
        <v>0</v>
      </c>
      <c r="N19" s="47">
        <v>0</v>
      </c>
      <c r="O19" s="47">
        <v>0</v>
      </c>
    </row>
    <row r="20" spans="2:15" ht="31.5" customHeight="1" x14ac:dyDescent="0.25">
      <c r="B20" s="40" t="s">
        <v>24</v>
      </c>
      <c r="C2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37696492.969999999</v>
      </c>
      <c r="D20" s="42">
        <f t="shared" ref="D20:O20" si="4">+D21+D22+D23+D24+D27+D28+D26+D25+D29</f>
        <v>4007345.32</v>
      </c>
      <c r="E20" s="42">
        <f t="shared" si="4"/>
        <v>2516632.65</v>
      </c>
      <c r="F20" s="42">
        <f t="shared" si="4"/>
        <v>7548127.5199999996</v>
      </c>
      <c r="G20" s="42">
        <f t="shared" si="4"/>
        <v>6068795.4800000004</v>
      </c>
      <c r="H20" s="42">
        <f t="shared" si="4"/>
        <v>5174138.08</v>
      </c>
      <c r="I20" s="42">
        <f t="shared" si="4"/>
        <v>4650658.96</v>
      </c>
      <c r="J20" s="42">
        <f t="shared" si="4"/>
        <v>3720294</v>
      </c>
      <c r="K20" s="42">
        <f t="shared" si="4"/>
        <v>4010500.96</v>
      </c>
      <c r="L20" s="42">
        <f t="shared" si="4"/>
        <v>0</v>
      </c>
      <c r="M20" s="42">
        <f t="shared" si="4"/>
        <v>0</v>
      </c>
      <c r="N20" s="42">
        <f t="shared" si="4"/>
        <v>0</v>
      </c>
      <c r="O20" s="42">
        <f t="shared" si="4"/>
        <v>0</v>
      </c>
    </row>
    <row r="21" spans="2:15" x14ac:dyDescent="0.25">
      <c r="B21" s="43" t="s">
        <v>25</v>
      </c>
      <c r="C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3463493.8099999996</v>
      </c>
      <c r="D21" s="45">
        <v>0</v>
      </c>
      <c r="E21" s="45">
        <f>691689.49+137515.04</f>
        <v>829204.53</v>
      </c>
      <c r="F21" s="45">
        <v>79800</v>
      </c>
      <c r="G21" s="45">
        <v>895863.04</v>
      </c>
      <c r="H21" s="45">
        <f>682620.08+206272.56</f>
        <v>888892.6399999999</v>
      </c>
      <c r="I21" s="45">
        <f>68757.52+226027.03</f>
        <v>294784.55</v>
      </c>
      <c r="J21" s="45">
        <v>302190.05</v>
      </c>
      <c r="K21" s="45">
        <v>172759</v>
      </c>
      <c r="L21" s="45">
        <v>0</v>
      </c>
      <c r="M21" s="45">
        <v>0</v>
      </c>
      <c r="N21" s="45">
        <v>0</v>
      </c>
      <c r="O21" s="45">
        <v>0</v>
      </c>
    </row>
    <row r="22" spans="2:15" x14ac:dyDescent="0.25">
      <c r="B22" s="43" t="s">
        <v>26</v>
      </c>
      <c r="C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1952848.49</v>
      </c>
      <c r="D22" s="45">
        <v>340896.58</v>
      </c>
      <c r="E22" s="45">
        <v>62304</v>
      </c>
      <c r="F22" s="45">
        <f>520543.2+650180</f>
        <v>1170723.2</v>
      </c>
      <c r="G22" s="45">
        <v>67671.23</v>
      </c>
      <c r="H22" s="45">
        <v>66080</v>
      </c>
      <c r="I22" s="45">
        <v>222925.48</v>
      </c>
      <c r="J22" s="45">
        <v>18000</v>
      </c>
      <c r="K22" s="45">
        <v>4248</v>
      </c>
      <c r="L22" s="45">
        <v>0</v>
      </c>
      <c r="M22" s="45">
        <v>0</v>
      </c>
      <c r="N22" s="45">
        <v>0</v>
      </c>
      <c r="O22" s="45">
        <v>0</v>
      </c>
    </row>
    <row r="23" spans="2:15" x14ac:dyDescent="0.25">
      <c r="B23" s="43" t="s">
        <v>27</v>
      </c>
      <c r="C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147698.52000000002</v>
      </c>
      <c r="D23" s="45">
        <v>24000</v>
      </c>
      <c r="E23" s="45">
        <v>96698.52</v>
      </c>
      <c r="F23" s="45">
        <v>18000</v>
      </c>
      <c r="G23" s="45">
        <v>9000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</row>
    <row r="24" spans="2:15" ht="18" customHeight="1" x14ac:dyDescent="0.25">
      <c r="B24" s="43" t="s">
        <v>28</v>
      </c>
      <c r="C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235750.3</v>
      </c>
      <c r="D24" s="45">
        <v>17264.45</v>
      </c>
      <c r="E24" s="45">
        <v>0</v>
      </c>
      <c r="F24" s="45">
        <f>8447.56+41814.45</f>
        <v>50262.009999999995</v>
      </c>
      <c r="G24" s="45">
        <v>17700</v>
      </c>
      <c r="H24" s="45">
        <v>0</v>
      </c>
      <c r="I24" s="45">
        <v>8680</v>
      </c>
      <c r="J24" s="45">
        <v>121129.02</v>
      </c>
      <c r="K24" s="45">
        <v>20714.82</v>
      </c>
      <c r="L24" s="45">
        <v>0</v>
      </c>
      <c r="M24" s="45">
        <v>0</v>
      </c>
      <c r="N24" s="45">
        <v>0</v>
      </c>
      <c r="O24" s="45">
        <v>0</v>
      </c>
    </row>
    <row r="25" spans="2:15" x14ac:dyDescent="0.25">
      <c r="B25" s="43" t="s">
        <v>29</v>
      </c>
      <c r="C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289690</v>
      </c>
      <c r="D25" s="45">
        <v>0</v>
      </c>
      <c r="E25" s="45">
        <v>0</v>
      </c>
      <c r="F25" s="45">
        <v>289690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</row>
    <row r="26" spans="2:15" x14ac:dyDescent="0.25">
      <c r="B26" s="43" t="s">
        <v>30</v>
      </c>
      <c r="C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</row>
    <row r="27" spans="2:15" ht="30" x14ac:dyDescent="0.25">
      <c r="B27" s="43" t="s">
        <v>31</v>
      </c>
      <c r="C2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14575275.600000001</v>
      </c>
      <c r="D27" s="45">
        <v>2525.65</v>
      </c>
      <c r="E27" s="45">
        <f>503765.6+99120+76110+99120</f>
        <v>778115.6</v>
      </c>
      <c r="F27" s="45">
        <f>1646605.76+31860+88800+107199.76+1028436.85+291035.65+454001.23</f>
        <v>3647939.25</v>
      </c>
      <c r="G27" s="45">
        <f>1187353.32+99120+250124.56+133309.76</f>
        <v>1669907.6400000001</v>
      </c>
      <c r="H27" s="45">
        <f>1477092.54+25811.32+27220.94+2585790.64</f>
        <v>4115915.4400000004</v>
      </c>
      <c r="I27" s="45">
        <f>339219.73+435007.18+29500+1377871.88+30626.9+103840+4130</f>
        <v>2320195.69</v>
      </c>
      <c r="J27" s="45">
        <v>1022159.53</v>
      </c>
      <c r="K27" s="45">
        <v>1018516.8</v>
      </c>
      <c r="L27" s="45">
        <v>0</v>
      </c>
      <c r="M27" s="45">
        <v>0</v>
      </c>
      <c r="N27" s="45">
        <v>0</v>
      </c>
      <c r="O27" s="45">
        <v>0</v>
      </c>
    </row>
    <row r="28" spans="2:15" ht="30" x14ac:dyDescent="0.25">
      <c r="B28" s="43" t="s">
        <v>32</v>
      </c>
      <c r="C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16731736.25</v>
      </c>
      <c r="D28" s="45">
        <f>2028559.75+503400+1090698.89</f>
        <v>3622658.6399999997</v>
      </c>
      <c r="E28" s="45">
        <f>12980+437330</f>
        <v>450310</v>
      </c>
      <c r="F28" s="45">
        <f>5814.87+790091.36+781518.09+10260+704028.74</f>
        <v>2291713.0599999996</v>
      </c>
      <c r="G28" s="45">
        <f>25700.33+1472481.37+17100+72865+1820506.87</f>
        <v>3408653.5700000003</v>
      </c>
      <c r="H28" s="45">
        <f>44250+59000</f>
        <v>103250</v>
      </c>
      <c r="I28" s="45">
        <f>541938.24+10000+7185+1244950</f>
        <v>1804073.24</v>
      </c>
      <c r="J28" s="45">
        <v>2256815.4</v>
      </c>
      <c r="K28" s="45">
        <v>2794262.34</v>
      </c>
      <c r="L28" s="45">
        <v>0</v>
      </c>
      <c r="M28" s="45">
        <v>0</v>
      </c>
      <c r="N28" s="45">
        <v>0</v>
      </c>
      <c r="O28" s="45">
        <v>0</v>
      </c>
    </row>
    <row r="29" spans="2:15" x14ac:dyDescent="0.25">
      <c r="B29" s="43" t="s">
        <v>33</v>
      </c>
      <c r="C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300000</v>
      </c>
      <c r="D29" s="45">
        <v>0</v>
      </c>
      <c r="E29" s="45">
        <v>300000</v>
      </c>
      <c r="F29" s="45">
        <v>0</v>
      </c>
      <c r="G29" s="45">
        <v>0</v>
      </c>
      <c r="H29" s="45"/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</row>
    <row r="30" spans="2:15" x14ac:dyDescent="0.25">
      <c r="B30" s="40" t="s">
        <v>34</v>
      </c>
      <c r="C3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202251926.72999999</v>
      </c>
      <c r="D30" s="42">
        <f t="shared" ref="D30:K30" si="5">+D31+D32+D33+D34+D35+D36+D37+D38+D39+D40</f>
        <v>135649.54999999999</v>
      </c>
      <c r="E30" s="42">
        <f t="shared" si="5"/>
        <v>28819592.449999999</v>
      </c>
      <c r="F30" s="42">
        <f t="shared" si="5"/>
        <v>45620735.799999997</v>
      </c>
      <c r="G30" s="42">
        <f t="shared" si="5"/>
        <v>27621679.809999999</v>
      </c>
      <c r="H30" s="42">
        <f t="shared" si="5"/>
        <v>21883931.559999999</v>
      </c>
      <c r="I30" s="42">
        <f t="shared" si="5"/>
        <v>29459566.440000001</v>
      </c>
      <c r="J30" s="42">
        <f t="shared" si="5"/>
        <v>22940694.329999998</v>
      </c>
      <c r="K30" s="42">
        <f t="shared" si="5"/>
        <v>25770076.789999999</v>
      </c>
      <c r="L30" s="42">
        <f>+L31+L32+L33+L34+L35+L36+L37+L38+L39+L40</f>
        <v>0</v>
      </c>
      <c r="M30" s="42">
        <f t="shared" ref="M30:O30" si="6">+M31+M32+M33+M34+M35+M36+M37+M38+M39+M40</f>
        <v>0</v>
      </c>
      <c r="N30" s="42">
        <f t="shared" si="6"/>
        <v>0</v>
      </c>
      <c r="O30" s="42">
        <f t="shared" si="6"/>
        <v>0</v>
      </c>
    </row>
    <row r="31" spans="2:15" x14ac:dyDescent="0.25">
      <c r="B31" s="43" t="s">
        <v>35</v>
      </c>
      <c r="C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8511134.2100000009</v>
      </c>
      <c r="D31" s="45">
        <v>1375.01</v>
      </c>
      <c r="E31" s="45">
        <v>1325219.71</v>
      </c>
      <c r="F31" s="45">
        <v>1232865.5900000001</v>
      </c>
      <c r="G31" s="45">
        <v>1158080.3500000001</v>
      </c>
      <c r="H31" s="45">
        <v>243441.53</v>
      </c>
      <c r="I31" s="45">
        <v>2633290.7799999998</v>
      </c>
      <c r="J31" s="45">
        <v>1380553.27</v>
      </c>
      <c r="K31" s="45">
        <v>536307.97</v>
      </c>
      <c r="L31" s="45">
        <v>0</v>
      </c>
      <c r="M31" s="45">
        <v>0</v>
      </c>
      <c r="N31" s="45">
        <v>0</v>
      </c>
      <c r="O31" s="45">
        <v>0</v>
      </c>
    </row>
    <row r="32" spans="2:15" x14ac:dyDescent="0.25">
      <c r="B32" s="43" t="s">
        <v>36</v>
      </c>
      <c r="C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216062.59</v>
      </c>
      <c r="D32" s="45">
        <f>4261.9+1770</f>
        <v>6031.9</v>
      </c>
      <c r="E32" s="45">
        <v>0</v>
      </c>
      <c r="F32" s="45">
        <f>112100+91509</f>
        <v>203609</v>
      </c>
      <c r="G32" s="45">
        <v>4914.7</v>
      </c>
      <c r="H32" s="45">
        <v>0</v>
      </c>
      <c r="I32" s="45">
        <v>0</v>
      </c>
      <c r="J32" s="45">
        <v>0</v>
      </c>
      <c r="K32" s="45">
        <v>1506.99</v>
      </c>
      <c r="L32" s="45">
        <v>0</v>
      </c>
      <c r="M32" s="45">
        <v>0</v>
      </c>
      <c r="N32" s="45">
        <v>0</v>
      </c>
      <c r="O32" s="45">
        <v>0</v>
      </c>
    </row>
    <row r="33" spans="2:15" x14ac:dyDescent="0.25">
      <c r="B33" s="43" t="s">
        <v>37</v>
      </c>
      <c r="C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3622632.49</v>
      </c>
      <c r="D33" s="45">
        <v>0</v>
      </c>
      <c r="E33" s="45">
        <f>6200+296888</f>
        <v>303088</v>
      </c>
      <c r="F33" s="45">
        <f>120063.23+463740+585516</f>
        <v>1169319.23</v>
      </c>
      <c r="G33" s="45">
        <v>53779.68</v>
      </c>
      <c r="H33" s="45">
        <f>32499.86+749266.79+153305.6</f>
        <v>935072.25</v>
      </c>
      <c r="I33" s="45">
        <v>149940.24</v>
      </c>
      <c r="J33" s="45">
        <v>377740.64</v>
      </c>
      <c r="K33" s="45">
        <v>633692.44999999995</v>
      </c>
      <c r="L33" s="45">
        <v>0</v>
      </c>
      <c r="M33" s="45">
        <v>0</v>
      </c>
      <c r="N33" s="45">
        <v>0</v>
      </c>
      <c r="O33" s="45">
        <v>0</v>
      </c>
    </row>
    <row r="34" spans="2:15" x14ac:dyDescent="0.25">
      <c r="B34" s="43" t="s">
        <v>38</v>
      </c>
      <c r="C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117411872.69999999</v>
      </c>
      <c r="D34" s="45">
        <v>64184.65</v>
      </c>
      <c r="E34" s="45">
        <v>21710117.620000001</v>
      </c>
      <c r="F34" s="45">
        <v>26251715.449999999</v>
      </c>
      <c r="G34" s="45">
        <v>14479908.26</v>
      </c>
      <c r="H34" s="45">
        <v>15975562.199999999</v>
      </c>
      <c r="I34" s="45">
        <v>13744806.48</v>
      </c>
      <c r="J34" s="45">
        <v>9546220.9100000001</v>
      </c>
      <c r="K34" s="45">
        <v>15639357.130000001</v>
      </c>
      <c r="L34" s="45">
        <v>0</v>
      </c>
      <c r="M34" s="45">
        <v>0</v>
      </c>
      <c r="N34" s="45">
        <v>0</v>
      </c>
      <c r="O34" s="45">
        <v>0</v>
      </c>
    </row>
    <row r="35" spans="2:15" ht="33" customHeight="1" x14ac:dyDescent="0.25">
      <c r="B35" s="43" t="s">
        <v>39</v>
      </c>
      <c r="C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2584827.71</v>
      </c>
      <c r="D35" s="45">
        <f>3475.1+4885.66+776.93</f>
        <v>9137.69</v>
      </c>
      <c r="E35" s="45">
        <v>158857</v>
      </c>
      <c r="F35" s="45">
        <f>2790+722240.01</f>
        <v>725030.01</v>
      </c>
      <c r="G35" s="45"/>
      <c r="H35" s="45">
        <v>207975</v>
      </c>
      <c r="I35" s="45">
        <f>130518.59+692798.45</f>
        <v>823317.03999999992</v>
      </c>
      <c r="J35" s="45">
        <v>640539.82999999996</v>
      </c>
      <c r="K35" s="45">
        <v>19971.14</v>
      </c>
      <c r="L35" s="45">
        <v>0</v>
      </c>
      <c r="M35" s="45">
        <v>0</v>
      </c>
      <c r="N35" s="45">
        <v>0</v>
      </c>
      <c r="O35" s="45">
        <v>0</v>
      </c>
    </row>
    <row r="36" spans="2:15" ht="30" x14ac:dyDescent="0.25">
      <c r="B36" s="43" t="s">
        <v>40</v>
      </c>
      <c r="C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566326.44999999995</v>
      </c>
      <c r="D36" s="45">
        <f>3510+270+10302.21</f>
        <v>14082.21</v>
      </c>
      <c r="E36" s="45">
        <f>47563.33+10649</f>
        <v>58212.33</v>
      </c>
      <c r="F36" s="45">
        <f>175624.2+1560</f>
        <v>177184.2</v>
      </c>
      <c r="G36" s="45">
        <v>277033.32</v>
      </c>
      <c r="H36" s="45">
        <v>0</v>
      </c>
      <c r="I36" s="45">
        <f>2405+7310.46</f>
        <v>9715.4599999999991</v>
      </c>
      <c r="J36" s="45">
        <v>23933.94</v>
      </c>
      <c r="K36" s="45">
        <v>6164.99</v>
      </c>
      <c r="L36" s="45">
        <v>0</v>
      </c>
      <c r="M36" s="45">
        <v>0</v>
      </c>
      <c r="N36" s="45">
        <v>0</v>
      </c>
      <c r="O36" s="45">
        <v>0</v>
      </c>
    </row>
    <row r="37" spans="2:15" ht="30" x14ac:dyDescent="0.25">
      <c r="B37" s="43" t="s">
        <v>41</v>
      </c>
      <c r="C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31847476.630000003</v>
      </c>
      <c r="D37" s="45">
        <f>3000+3030</f>
        <v>6030</v>
      </c>
      <c r="E37" s="45">
        <f>1652237.3+73416.27+396700</f>
        <v>2122353.5700000003</v>
      </c>
      <c r="F37" s="45">
        <f>10248115.98+78776.02+1681416.78</f>
        <v>12008308.779999999</v>
      </c>
      <c r="G37" s="45">
        <v>2384979.98</v>
      </c>
      <c r="H37" s="45">
        <v>0</v>
      </c>
      <c r="I37" s="45">
        <f>524600+4999825.88+1735575.1</f>
        <v>7260000.9800000004</v>
      </c>
      <c r="J37" s="45">
        <v>3266735.49</v>
      </c>
      <c r="K37" s="45">
        <v>4799067.83</v>
      </c>
      <c r="L37" s="45">
        <v>0</v>
      </c>
      <c r="M37" s="45">
        <v>0</v>
      </c>
      <c r="N37" s="45">
        <v>0</v>
      </c>
      <c r="O37" s="45">
        <v>0</v>
      </c>
    </row>
    <row r="38" spans="2:15" x14ac:dyDescent="0.25">
      <c r="B38" s="43" t="s">
        <v>107</v>
      </c>
      <c r="C3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3647463.27</v>
      </c>
      <c r="D38" s="45">
        <v>0</v>
      </c>
      <c r="E38" s="45">
        <v>0</v>
      </c>
      <c r="F38" s="45">
        <v>0</v>
      </c>
      <c r="G38" s="45">
        <v>2810277.66</v>
      </c>
      <c r="H38" s="45">
        <v>837185.61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</row>
    <row r="39" spans="2:15" ht="30" x14ac:dyDescent="0.25">
      <c r="B39" s="43" t="s">
        <v>42</v>
      </c>
      <c r="C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6452705.8600000003</v>
      </c>
      <c r="D39" s="45">
        <v>0</v>
      </c>
      <c r="E39" s="45">
        <v>0</v>
      </c>
      <c r="F39" s="45">
        <v>0</v>
      </c>
      <c r="G39" s="45">
        <v>6452705.8600000003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</row>
    <row r="40" spans="2:15" x14ac:dyDescent="0.25">
      <c r="B40" s="43" t="s">
        <v>43</v>
      </c>
      <c r="C4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27391424.82</v>
      </c>
      <c r="D40" s="45">
        <f>5000+325+12098.33+6816.02+8808.74+1760</f>
        <v>34808.090000000004</v>
      </c>
      <c r="E40" s="45">
        <f>647277.2+2051756.26+157606.11+285104.65</f>
        <v>3141744.2199999997</v>
      </c>
      <c r="F40" s="45">
        <f>79340.84+195376.17+24514.56+2160403.66+100897.69+1292170.62</f>
        <v>3852703.54</v>
      </c>
      <c r="G40" s="45"/>
      <c r="H40" s="45">
        <f>56699.1+134307.6+2704349.04+931375.83-142036.6</f>
        <v>3684694.97</v>
      </c>
      <c r="I40" s="45">
        <f>416428.09+734843.71+3616157.96+63967.67+7098.03</f>
        <v>4838495.46</v>
      </c>
      <c r="J40" s="45">
        <v>7704970.25</v>
      </c>
      <c r="K40" s="45">
        <v>4134008.29</v>
      </c>
      <c r="L40" s="45">
        <v>0</v>
      </c>
      <c r="M40" s="45">
        <v>0</v>
      </c>
      <c r="N40" s="45">
        <v>0</v>
      </c>
      <c r="O40" s="45">
        <v>0</v>
      </c>
    </row>
    <row r="41" spans="2:15" s="35" customFormat="1" x14ac:dyDescent="0.25">
      <c r="B41" s="40" t="s">
        <v>44</v>
      </c>
      <c r="C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v>0</v>
      </c>
      <c r="N41" s="49">
        <v>0</v>
      </c>
      <c r="O41" s="49">
        <v>0</v>
      </c>
    </row>
    <row r="42" spans="2:15" x14ac:dyDescent="0.25">
      <c r="B42" s="43" t="s">
        <v>45</v>
      </c>
      <c r="C4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</row>
    <row r="43" spans="2:15" ht="30" x14ac:dyDescent="0.25">
      <c r="B43" s="43" t="s">
        <v>46</v>
      </c>
      <c r="C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3" s="45">
        <v>0</v>
      </c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</row>
    <row r="44" spans="2:15" ht="30" x14ac:dyDescent="0.25">
      <c r="B44" s="43" t="s">
        <v>47</v>
      </c>
      <c r="C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</row>
    <row r="45" spans="2:15" ht="30" x14ac:dyDescent="0.25">
      <c r="B45" s="43" t="s">
        <v>48</v>
      </c>
      <c r="C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</row>
    <row r="46" spans="2:15" ht="30" x14ac:dyDescent="0.25">
      <c r="B46" s="43" t="s">
        <v>49</v>
      </c>
      <c r="C4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6" s="45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</row>
    <row r="47" spans="2:15" x14ac:dyDescent="0.25">
      <c r="B47" s="43" t="s">
        <v>50</v>
      </c>
      <c r="C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7" s="45">
        <v>0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</row>
    <row r="48" spans="2:15" ht="30" x14ac:dyDescent="0.25">
      <c r="B48" s="43" t="s">
        <v>51</v>
      </c>
      <c r="C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</row>
    <row r="49" spans="2:15" s="34" customFormat="1" ht="33.75" customHeight="1" x14ac:dyDescent="0.25">
      <c r="B49" s="48" t="s">
        <v>52</v>
      </c>
      <c r="C4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</row>
    <row r="50" spans="2:15" x14ac:dyDescent="0.25">
      <c r="B50" s="43" t="s">
        <v>53</v>
      </c>
      <c r="C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0" s="45">
        <v>0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</row>
    <row r="51" spans="2:15" ht="30" x14ac:dyDescent="0.25">
      <c r="B51" s="43" t="s">
        <v>54</v>
      </c>
      <c r="C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</row>
    <row r="52" spans="2:15" ht="30" x14ac:dyDescent="0.25">
      <c r="B52" s="43" t="s">
        <v>55</v>
      </c>
      <c r="C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</row>
    <row r="53" spans="2:15" ht="30" x14ac:dyDescent="0.25">
      <c r="B53" s="43" t="s">
        <v>56</v>
      </c>
      <c r="C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</row>
    <row r="54" spans="2:15" ht="30" x14ac:dyDescent="0.25">
      <c r="B54" s="43" t="s">
        <v>57</v>
      </c>
      <c r="C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</row>
    <row r="55" spans="2:15" x14ac:dyDescent="0.25">
      <c r="B55" s="43" t="s">
        <v>58</v>
      </c>
      <c r="C5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</row>
    <row r="56" spans="2:15" ht="30" x14ac:dyDescent="0.25">
      <c r="B56" s="43" t="s">
        <v>59</v>
      </c>
      <c r="C5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</row>
    <row r="57" spans="2:15" x14ac:dyDescent="0.25">
      <c r="B57" s="40" t="s">
        <v>60</v>
      </c>
      <c r="C5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38882909.379999995</v>
      </c>
      <c r="D57" s="42">
        <f t="shared" ref="D57:K57" si="7">+D58+D59+D60+D61+D62+D63+D64+D65</f>
        <v>0</v>
      </c>
      <c r="E57" s="42">
        <f t="shared" si="7"/>
        <v>19049967.879999999</v>
      </c>
      <c r="F57" s="42">
        <f t="shared" si="7"/>
        <v>3029603.85</v>
      </c>
      <c r="G57" s="42">
        <f t="shared" si="7"/>
        <v>2784801.89</v>
      </c>
      <c r="H57" s="42">
        <f t="shared" si="7"/>
        <v>4600117.09</v>
      </c>
      <c r="I57" s="42">
        <f t="shared" si="7"/>
        <v>9104429.8699999992</v>
      </c>
      <c r="J57" s="42">
        <f t="shared" si="7"/>
        <v>67103.790000000008</v>
      </c>
      <c r="K57" s="42">
        <f t="shared" si="7"/>
        <v>246885.01</v>
      </c>
      <c r="L57" s="42">
        <f>+L58+L59+L60+L61+L62+L63+L64+L65</f>
        <v>0</v>
      </c>
      <c r="M57" s="42">
        <f t="shared" ref="M57:O57" si="8">+M58+M59+M60+M61+M62+M63+M64+M65</f>
        <v>0</v>
      </c>
      <c r="N57" s="42">
        <f t="shared" si="8"/>
        <v>0</v>
      </c>
      <c r="O57" s="42">
        <f t="shared" si="8"/>
        <v>0</v>
      </c>
    </row>
    <row r="58" spans="2:15" x14ac:dyDescent="0.25">
      <c r="B58" s="43" t="s">
        <v>61</v>
      </c>
      <c r="C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2477390.9900000002</v>
      </c>
      <c r="D58" s="45">
        <v>0</v>
      </c>
      <c r="E58" s="45">
        <f>10502+39161.25+63464.24</f>
        <v>113127.48999999999</v>
      </c>
      <c r="F58" s="45">
        <f>3163.44+107564.79</f>
        <v>110728.23</v>
      </c>
      <c r="G58" s="45">
        <f>41245.52+224125+51920+67260</f>
        <v>384550.52</v>
      </c>
      <c r="H58" s="45">
        <v>1012736.51</v>
      </c>
      <c r="I58" s="45">
        <f>5646.3+249657.34+315130.8</f>
        <v>570434.43999999994</v>
      </c>
      <c r="J58" s="45">
        <v>38928.79</v>
      </c>
      <c r="K58" s="45">
        <v>246885.01</v>
      </c>
      <c r="L58" s="45">
        <v>0</v>
      </c>
      <c r="M58" s="45">
        <v>0</v>
      </c>
      <c r="N58" s="45">
        <v>0</v>
      </c>
      <c r="O58" s="45">
        <v>0</v>
      </c>
    </row>
    <row r="59" spans="2:15" x14ac:dyDescent="0.25">
      <c r="B59" s="43" t="s">
        <v>62</v>
      </c>
      <c r="C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50699.88</v>
      </c>
      <c r="D59" s="45">
        <v>0</v>
      </c>
      <c r="E59" s="45">
        <v>0</v>
      </c>
      <c r="F59" s="45">
        <v>0</v>
      </c>
      <c r="G59" s="45"/>
      <c r="H59" s="45">
        <v>0</v>
      </c>
      <c r="I59" s="45">
        <v>50699.88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</row>
    <row r="60" spans="2:15" ht="30" x14ac:dyDescent="0.25">
      <c r="B60" s="43" t="s">
        <v>63</v>
      </c>
      <c r="C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21372004.309999999</v>
      </c>
      <c r="D60" s="45">
        <v>0</v>
      </c>
      <c r="E60" s="45">
        <v>6028714.7999999998</v>
      </c>
      <c r="F60" s="45">
        <f>34208.2+1849877.68</f>
        <v>1884085.88</v>
      </c>
      <c r="G60" s="45">
        <v>1507178.7</v>
      </c>
      <c r="H60" s="45">
        <v>3563556.38</v>
      </c>
      <c r="I60" s="45">
        <v>8360293.5499999998</v>
      </c>
      <c r="J60" s="45">
        <v>28175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</row>
    <row r="61" spans="2:15" ht="30" x14ac:dyDescent="0.25">
      <c r="B61" s="43" t="s">
        <v>64</v>
      </c>
      <c r="C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1" s="45">
        <v>0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</row>
    <row r="62" spans="2:15" x14ac:dyDescent="0.25">
      <c r="B62" s="43" t="s">
        <v>65</v>
      </c>
      <c r="C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13822374.039999999</v>
      </c>
      <c r="D62" s="45">
        <v>0</v>
      </c>
      <c r="E62" s="45">
        <v>12715547.84</v>
      </c>
      <c r="F62" s="45">
        <v>960000</v>
      </c>
      <c r="G62" s="45">
        <v>0</v>
      </c>
      <c r="H62" s="45">
        <v>23824.2</v>
      </c>
      <c r="I62" s="45">
        <v>123002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</row>
    <row r="63" spans="2:15" x14ac:dyDescent="0.25">
      <c r="B63" s="43" t="s">
        <v>66</v>
      </c>
      <c r="C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74789.740000000005</v>
      </c>
      <c r="D63" s="45">
        <v>0</v>
      </c>
      <c r="E63" s="45">
        <v>0</v>
      </c>
      <c r="F63" s="45">
        <v>74789.740000000005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</row>
    <row r="64" spans="2:15" x14ac:dyDescent="0.25">
      <c r="B64" s="43" t="s">
        <v>67</v>
      </c>
      <c r="C6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4" s="45">
        <v>0</v>
      </c>
      <c r="E64" s="45">
        <v>0</v>
      </c>
      <c r="F64" s="45">
        <v>0</v>
      </c>
      <c r="G64" s="45"/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</row>
    <row r="65" spans="2:15" x14ac:dyDescent="0.25">
      <c r="B65" s="43" t="s">
        <v>68</v>
      </c>
      <c r="C6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1085650.42</v>
      </c>
      <c r="D65" s="45">
        <v>0</v>
      </c>
      <c r="E65" s="45">
        <f>75171.01+12086.74+105320</f>
        <v>192577.75</v>
      </c>
      <c r="F65" s="45">
        <v>0</v>
      </c>
      <c r="G65" s="45">
        <v>893072.67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</row>
    <row r="66" spans="2:15" ht="30" x14ac:dyDescent="0.25">
      <c r="B66" s="43" t="s">
        <v>69</v>
      </c>
      <c r="C6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</row>
    <row r="67" spans="2:15" x14ac:dyDescent="0.25">
      <c r="B67" s="40" t="s">
        <v>70</v>
      </c>
      <c r="C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39233.599999999999</v>
      </c>
      <c r="D67" s="45">
        <f>+D68+D69+D70+D71</f>
        <v>0</v>
      </c>
      <c r="E67" s="45">
        <f t="shared" ref="E67:N67" si="9">+E68+E69+E70+E71</f>
        <v>0</v>
      </c>
      <c r="F67" s="45">
        <f t="shared" si="9"/>
        <v>0</v>
      </c>
      <c r="G67" s="45">
        <f t="shared" si="9"/>
        <v>0</v>
      </c>
      <c r="H67" s="45">
        <f t="shared" si="9"/>
        <v>0</v>
      </c>
      <c r="I67" s="45">
        <f t="shared" si="9"/>
        <v>39233.599999999999</v>
      </c>
      <c r="J67" s="45">
        <f t="shared" si="9"/>
        <v>0</v>
      </c>
      <c r="K67" s="45">
        <f t="shared" si="9"/>
        <v>0</v>
      </c>
      <c r="L67" s="45">
        <f t="shared" si="9"/>
        <v>0</v>
      </c>
      <c r="M67" s="45">
        <f t="shared" si="9"/>
        <v>0</v>
      </c>
      <c r="N67" s="45">
        <f t="shared" si="9"/>
        <v>0</v>
      </c>
      <c r="O67" s="45">
        <f>+O68+O69+O70+O71</f>
        <v>0</v>
      </c>
    </row>
    <row r="68" spans="2:15" x14ac:dyDescent="0.25">
      <c r="B68" s="43" t="s">
        <v>71</v>
      </c>
      <c r="C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8" s="45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</row>
    <row r="69" spans="2:15" x14ac:dyDescent="0.25">
      <c r="B69" s="43" t="s">
        <v>72</v>
      </c>
      <c r="C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39233.599999999999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39233.599999999999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</row>
    <row r="70" spans="2:15" x14ac:dyDescent="0.25">
      <c r="B70" s="43" t="s">
        <v>73</v>
      </c>
      <c r="C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0" s="45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</row>
    <row r="71" spans="2:15" ht="30" x14ac:dyDescent="0.25">
      <c r="B71" s="43" t="s">
        <v>74</v>
      </c>
      <c r="C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</row>
    <row r="72" spans="2:15" ht="30" x14ac:dyDescent="0.25">
      <c r="B72" s="40" t="s">
        <v>75</v>
      </c>
      <c r="C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2" s="49"/>
      <c r="E72" s="49">
        <v>0</v>
      </c>
      <c r="F72" s="46"/>
      <c r="G72" s="47"/>
      <c r="H72" s="47">
        <v>0</v>
      </c>
      <c r="I72" s="47"/>
      <c r="J72" s="47">
        <v>0</v>
      </c>
      <c r="K72" s="47">
        <v>0</v>
      </c>
      <c r="L72" s="47"/>
      <c r="M72" s="47"/>
      <c r="N72" s="47">
        <v>0</v>
      </c>
      <c r="O72" s="47">
        <f>+O73+O74</f>
        <v>0</v>
      </c>
    </row>
    <row r="73" spans="2:15" x14ac:dyDescent="0.25">
      <c r="B73" s="43" t="s">
        <v>76</v>
      </c>
      <c r="C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3" s="45">
        <v>0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</row>
    <row r="74" spans="2:15" ht="30" x14ac:dyDescent="0.25">
      <c r="B74" s="43" t="s">
        <v>77</v>
      </c>
      <c r="C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</row>
    <row r="75" spans="2:15" x14ac:dyDescent="0.25">
      <c r="B75" s="40" t="s">
        <v>78</v>
      </c>
      <c r="C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5" s="49"/>
      <c r="E75" s="49">
        <v>0</v>
      </c>
      <c r="F75" s="46"/>
      <c r="G75" s="47"/>
      <c r="H75" s="47">
        <v>0</v>
      </c>
      <c r="I75" s="47"/>
      <c r="J75" s="47">
        <v>0</v>
      </c>
      <c r="K75" s="47"/>
      <c r="L75" s="47"/>
      <c r="M75" s="47"/>
      <c r="N75" s="47">
        <v>0</v>
      </c>
      <c r="O75" s="47">
        <f>+O76+O77+O78</f>
        <v>0</v>
      </c>
    </row>
    <row r="76" spans="2:15" x14ac:dyDescent="0.25">
      <c r="B76" s="43" t="s">
        <v>79</v>
      </c>
      <c r="C7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6" s="45">
        <v>0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</row>
    <row r="77" spans="2:15" x14ac:dyDescent="0.25">
      <c r="B77" s="43" t="s">
        <v>80</v>
      </c>
      <c r="C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</row>
    <row r="78" spans="2:15" ht="30" x14ac:dyDescent="0.25">
      <c r="B78" s="43" t="s">
        <v>81</v>
      </c>
      <c r="C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</row>
    <row r="79" spans="2:15" x14ac:dyDescent="0.25">
      <c r="B79" s="50" t="s">
        <v>82</v>
      </c>
      <c r="C79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620039235.69000006</v>
      </c>
      <c r="D79" s="51">
        <f t="shared" ref="D79:O79" si="10">+D75+D72+D67+D57+D49+D41+D30+D20+D14</f>
        <v>39498904.639999993</v>
      </c>
      <c r="E79" s="51">
        <f t="shared" si="10"/>
        <v>85576070.669999987</v>
      </c>
      <c r="F79" s="51">
        <f t="shared" si="10"/>
        <v>94477311.030000001</v>
      </c>
      <c r="G79" s="51">
        <f t="shared" si="10"/>
        <v>72025381.180000007</v>
      </c>
      <c r="H79" s="51">
        <f t="shared" si="10"/>
        <v>92427805.599999994</v>
      </c>
      <c r="I79" s="51">
        <f t="shared" si="10"/>
        <v>91049202.719999999</v>
      </c>
      <c r="J79" s="51">
        <f t="shared" si="10"/>
        <v>72220723.859999985</v>
      </c>
      <c r="K79" s="51">
        <f t="shared" si="10"/>
        <v>72763835.989999995</v>
      </c>
      <c r="L79" s="51">
        <f t="shared" si="10"/>
        <v>0</v>
      </c>
      <c r="M79" s="51">
        <f t="shared" si="10"/>
        <v>0</v>
      </c>
      <c r="N79" s="51">
        <f t="shared" si="10"/>
        <v>0</v>
      </c>
      <c r="O79" s="51">
        <f t="shared" si="10"/>
        <v>0</v>
      </c>
    </row>
    <row r="80" spans="2:15" x14ac:dyDescent="0.25">
      <c r="B80" s="52"/>
      <c r="C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0" s="45"/>
      <c r="E80" s="46"/>
      <c r="F80" s="46"/>
      <c r="G80" s="47"/>
      <c r="H80" s="47"/>
      <c r="I80" s="47"/>
      <c r="J80" s="47"/>
      <c r="K80" s="47"/>
      <c r="L80" s="47"/>
      <c r="M80" s="47"/>
      <c r="N80" s="47"/>
      <c r="O80" s="47"/>
    </row>
    <row r="81" spans="2:15" x14ac:dyDescent="0.25">
      <c r="B81" s="40" t="s">
        <v>83</v>
      </c>
      <c r="C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</row>
    <row r="82" spans="2:15" x14ac:dyDescent="0.25">
      <c r="B82" s="40" t="s">
        <v>84</v>
      </c>
      <c r="C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2" s="49"/>
      <c r="E82" s="46"/>
      <c r="F82" s="46"/>
      <c r="G82" s="47"/>
      <c r="H82" s="47"/>
      <c r="I82" s="47"/>
      <c r="J82" s="47"/>
      <c r="K82" s="47"/>
      <c r="L82" s="47"/>
      <c r="M82" s="47"/>
      <c r="N82" s="47"/>
      <c r="O82" s="47"/>
    </row>
    <row r="83" spans="2:15" ht="30" x14ac:dyDescent="0.25">
      <c r="B83" s="43" t="s">
        <v>85</v>
      </c>
      <c r="C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</row>
    <row r="84" spans="2:15" ht="30" x14ac:dyDescent="0.25">
      <c r="B84" s="43" t="s">
        <v>86</v>
      </c>
      <c r="C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</row>
    <row r="85" spans="2:15" x14ac:dyDescent="0.25">
      <c r="B85" s="40" t="s">
        <v>87</v>
      </c>
      <c r="C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5" s="49"/>
      <c r="E85" s="46"/>
      <c r="F85" s="46"/>
      <c r="G85" s="47"/>
      <c r="H85" s="47"/>
      <c r="I85" s="47"/>
      <c r="J85" s="47"/>
      <c r="K85" s="47"/>
      <c r="L85" s="47"/>
      <c r="M85" s="47"/>
      <c r="N85" s="47"/>
      <c r="O85" s="47"/>
    </row>
    <row r="86" spans="2:15" x14ac:dyDescent="0.25">
      <c r="B86" s="43" t="s">
        <v>88</v>
      </c>
      <c r="C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</row>
    <row r="87" spans="2:15" x14ac:dyDescent="0.25">
      <c r="B87" s="43" t="s">
        <v>89</v>
      </c>
      <c r="C8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7" s="45">
        <v>0</v>
      </c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</row>
    <row r="88" spans="2:15" x14ac:dyDescent="0.25">
      <c r="B88" s="40" t="s">
        <v>90</v>
      </c>
      <c r="C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8" s="49"/>
      <c r="E88" s="46"/>
      <c r="F88" s="46"/>
      <c r="G88" s="47"/>
      <c r="H88" s="47"/>
      <c r="I88" s="47"/>
      <c r="J88" s="47"/>
      <c r="K88" s="47"/>
      <c r="L88" s="47"/>
      <c r="M88" s="47"/>
      <c r="N88" s="47"/>
      <c r="O88" s="47"/>
    </row>
    <row r="89" spans="2:15" x14ac:dyDescent="0.25">
      <c r="B89" s="43" t="s">
        <v>91</v>
      </c>
      <c r="C8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9" s="45">
        <v>0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</row>
    <row r="90" spans="2:15" x14ac:dyDescent="0.25">
      <c r="B90" s="50" t="s">
        <v>92</v>
      </c>
      <c r="C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f t="shared" ref="N90:O90" si="11">SUM(N83:N89)</f>
        <v>0</v>
      </c>
      <c r="O90" s="51">
        <f t="shared" si="11"/>
        <v>0</v>
      </c>
    </row>
    <row r="91" spans="2:15" s="29" customFormat="1" x14ac:dyDescent="0.25">
      <c r="B91" s="26"/>
      <c r="C9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91" s="37"/>
      <c r="E91" s="37"/>
      <c r="F91" s="27"/>
      <c r="G91" s="27"/>
      <c r="H91" s="28"/>
      <c r="I91" s="28"/>
      <c r="J91" s="28"/>
      <c r="K91" s="28"/>
      <c r="L91" s="28"/>
      <c r="M91" s="28"/>
      <c r="N91" s="28"/>
      <c r="O91" s="28"/>
    </row>
    <row r="92" spans="2:15" ht="15.75" x14ac:dyDescent="0.25">
      <c r="B92" s="4" t="s">
        <v>93</v>
      </c>
      <c r="C92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620039235.69000006</v>
      </c>
      <c r="D92" s="38">
        <f>D79+D90</f>
        <v>39498904.639999993</v>
      </c>
      <c r="E92" s="38">
        <f t="shared" ref="E92:N92" si="12">E79+E90</f>
        <v>85576070.669999987</v>
      </c>
      <c r="F92" s="38">
        <f t="shared" si="12"/>
        <v>94477311.030000001</v>
      </c>
      <c r="G92" s="38">
        <f t="shared" si="12"/>
        <v>72025381.180000007</v>
      </c>
      <c r="H92" s="38">
        <f t="shared" si="12"/>
        <v>92427805.599999994</v>
      </c>
      <c r="I92" s="38">
        <f t="shared" si="12"/>
        <v>91049202.719999999</v>
      </c>
      <c r="J92" s="38">
        <f t="shared" si="12"/>
        <v>72220723.859999985</v>
      </c>
      <c r="K92" s="38">
        <f t="shared" si="12"/>
        <v>72763835.989999995</v>
      </c>
      <c r="L92" s="38">
        <f t="shared" si="12"/>
        <v>0</v>
      </c>
      <c r="M92" s="38">
        <f t="shared" si="12"/>
        <v>0</v>
      </c>
      <c r="N92" s="38">
        <f t="shared" si="12"/>
        <v>0</v>
      </c>
      <c r="O92" s="38">
        <f>O79+O90</f>
        <v>0</v>
      </c>
    </row>
    <row r="93" spans="2:15" s="2" customFormat="1" x14ac:dyDescent="0.25">
      <c r="E93" s="21"/>
      <c r="F93" s="21"/>
      <c r="G93" s="22"/>
      <c r="H93" s="22"/>
      <c r="I93" s="22"/>
      <c r="J93" s="22"/>
      <c r="K93" s="22"/>
      <c r="L93" s="22"/>
      <c r="M93" s="22"/>
      <c r="N93" s="22"/>
      <c r="O93" s="22"/>
    </row>
    <row r="94" spans="2:15" s="2" customFormat="1" x14ac:dyDescent="0.25">
      <c r="B94"/>
      <c r="C94" s="6"/>
      <c r="D94" s="63"/>
      <c r="E94" s="63"/>
      <c r="F94" s="63"/>
      <c r="G94" s="64"/>
      <c r="H94" s="64"/>
      <c r="I94" s="64"/>
      <c r="J94" s="64"/>
      <c r="K94" s="64"/>
      <c r="L94" s="64"/>
      <c r="M94" s="64"/>
      <c r="N94" s="64"/>
      <c r="O94" s="64"/>
    </row>
    <row r="95" spans="2:15" s="2" customFormat="1" x14ac:dyDescent="0.25">
      <c r="B95"/>
      <c r="C95" s="6"/>
      <c r="G95" s="3"/>
      <c r="H95" s="3"/>
      <c r="I95" s="3" t="s">
        <v>101</v>
      </c>
      <c r="J95" s="3" t="s">
        <v>101</v>
      </c>
      <c r="K95" s="3" t="s">
        <v>101</v>
      </c>
      <c r="L95" s="3"/>
      <c r="M95" s="3"/>
      <c r="N95" s="3"/>
      <c r="O95" s="3"/>
    </row>
    <row r="96" spans="2:15" s="2" customFormat="1" x14ac:dyDescent="0.25">
      <c r="B96"/>
      <c r="C96"/>
      <c r="G96" s="3"/>
      <c r="H96" s="3"/>
      <c r="I96" s="3"/>
      <c r="J96" s="3" t="s">
        <v>101</v>
      </c>
      <c r="K96" s="3"/>
      <c r="L96" s="3"/>
      <c r="M96" s="3"/>
      <c r="N96" s="3"/>
      <c r="O96" s="3"/>
    </row>
    <row r="97" spans="2:15" s="33" customFormat="1" x14ac:dyDescent="0.25">
      <c r="B97" s="30"/>
      <c r="C97" s="31"/>
      <c r="O97" s="32"/>
    </row>
    <row r="98" spans="2:15" s="9" customFormat="1" ht="15.75" x14ac:dyDescent="0.25">
      <c r="B98" s="7" t="s">
        <v>94</v>
      </c>
      <c r="C98" s="8"/>
      <c r="G98" s="10"/>
      <c r="H98" s="10"/>
      <c r="I98" s="10"/>
      <c r="J98" s="10"/>
      <c r="K98" s="10"/>
      <c r="L98" s="10"/>
      <c r="M98" s="10"/>
      <c r="N98" s="10"/>
      <c r="O98" s="10"/>
    </row>
    <row r="99" spans="2:15" s="9" customFormat="1" ht="15.75" x14ac:dyDescent="0.25">
      <c r="B99" s="11" t="s">
        <v>95</v>
      </c>
      <c r="C99" s="8"/>
      <c r="G99" s="10"/>
      <c r="H99" s="10"/>
      <c r="I99" s="10"/>
      <c r="J99" s="10"/>
      <c r="K99" s="10"/>
      <c r="L99" s="10"/>
      <c r="M99" s="10"/>
      <c r="N99" s="10"/>
      <c r="O99" s="10"/>
    </row>
    <row r="100" spans="2:15" s="9" customFormat="1" ht="15.75" x14ac:dyDescent="0.25">
      <c r="B100" s="11" t="s">
        <v>96</v>
      </c>
      <c r="C100" s="8"/>
      <c r="G100" s="10"/>
      <c r="H100" s="10"/>
      <c r="I100" s="10"/>
      <c r="J100" s="10"/>
      <c r="K100" s="10">
        <f>+K99-K98</f>
        <v>0</v>
      </c>
      <c r="L100" s="10"/>
      <c r="M100" s="10"/>
      <c r="N100" s="10"/>
      <c r="O100" s="10"/>
    </row>
    <row r="101" spans="2:15" s="9" customFormat="1" ht="15.75" x14ac:dyDescent="0.25">
      <c r="B101" s="11" t="s">
        <v>97</v>
      </c>
      <c r="C101" s="8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2:15" s="9" customFormat="1" ht="15.75" x14ac:dyDescent="0.25">
      <c r="B102" s="11" t="s">
        <v>98</v>
      </c>
      <c r="C102" s="8"/>
      <c r="G102" s="10"/>
      <c r="H102" s="10"/>
      <c r="I102" s="10"/>
      <c r="J102" s="10"/>
      <c r="K102" s="10"/>
      <c r="L102" s="10"/>
      <c r="M102" s="10"/>
      <c r="N102" s="10" t="s">
        <v>101</v>
      </c>
      <c r="O102" s="10"/>
    </row>
    <row r="103" spans="2:15" s="9" customFormat="1" ht="15.75" x14ac:dyDescent="0.25">
      <c r="B103" s="11" t="s">
        <v>99</v>
      </c>
      <c r="C103" s="8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2:15" s="2" customFormat="1" x14ac:dyDescent="0.25">
      <c r="B104" s="12"/>
      <c r="C104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2" customFormat="1" x14ac:dyDescent="0.25">
      <c r="B105" s="12"/>
      <c r="C105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2" customFormat="1" x14ac:dyDescent="0.25">
      <c r="B106" s="12"/>
      <c r="C106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2" customFormat="1" x14ac:dyDescent="0.25">
      <c r="B107" s="12"/>
      <c r="C107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2" customFormat="1" x14ac:dyDescent="0.25">
      <c r="B108" s="12"/>
      <c r="C108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2" customFormat="1" x14ac:dyDescent="0.25">
      <c r="B109" s="12"/>
      <c r="C109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2" customFormat="1" x14ac:dyDescent="0.25">
      <c r="B110" s="12"/>
      <c r="C110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2" customFormat="1" ht="18" x14ac:dyDescent="0.25">
      <c r="B111" s="12"/>
      <c r="C111"/>
      <c r="D111" s="65" t="s">
        <v>106</v>
      </c>
      <c r="E111" s="65"/>
      <c r="F111" s="65"/>
      <c r="G111" s="56"/>
      <c r="H111" s="56"/>
      <c r="I111" s="66" t="s">
        <v>100</v>
      </c>
      <c r="J111" s="66"/>
      <c r="K111" s="66"/>
      <c r="L111" s="3"/>
      <c r="M111" s="3"/>
      <c r="N111" s="3"/>
      <c r="O111" s="3"/>
    </row>
    <row r="112" spans="2:15" s="13" customFormat="1" ht="18" x14ac:dyDescent="0.25">
      <c r="B112" s="14"/>
      <c r="C112" s="14"/>
      <c r="D112" s="71" t="s">
        <v>108</v>
      </c>
      <c r="E112" s="71"/>
      <c r="F112" s="71"/>
      <c r="G112" s="54"/>
      <c r="H112" s="54"/>
      <c r="I112" s="70" t="s">
        <v>104</v>
      </c>
      <c r="J112" s="70"/>
      <c r="K112" s="70"/>
      <c r="L112" s="15"/>
      <c r="M112" s="15"/>
      <c r="N112" s="15"/>
      <c r="O112" s="15"/>
    </row>
    <row r="113" spans="1:15" s="17" customFormat="1" ht="18" x14ac:dyDescent="0.25">
      <c r="A113" s="16"/>
      <c r="D113" s="39"/>
      <c r="E113" s="54"/>
      <c r="F113" s="54"/>
      <c r="G113" s="54"/>
      <c r="H113" s="54"/>
      <c r="I113" s="59"/>
      <c r="J113" s="59"/>
      <c r="K113" s="39"/>
      <c r="L113" s="39"/>
      <c r="M113" s="39"/>
      <c r="N113" s="39"/>
      <c r="O113" s="39"/>
    </row>
    <row r="114" spans="1:15" s="17" customFormat="1" ht="15" customHeight="1" x14ac:dyDescent="0.25">
      <c r="A114" s="18"/>
      <c r="D114" s="39"/>
      <c r="E114" s="54"/>
      <c r="F114" s="54"/>
      <c r="G114" s="54"/>
      <c r="H114" s="54"/>
      <c r="I114" s="54"/>
      <c r="J114" s="54"/>
      <c r="K114" s="39"/>
      <c r="L114" s="39"/>
      <c r="M114" s="39"/>
      <c r="N114" s="39"/>
      <c r="O114" s="39"/>
    </row>
    <row r="115" spans="1:15" s="17" customFormat="1" ht="18" x14ac:dyDescent="0.25">
      <c r="A115" s="18"/>
      <c r="D115" s="39"/>
      <c r="E115" s="54"/>
      <c r="F115" s="54"/>
      <c r="G115" s="54"/>
      <c r="H115" s="54"/>
      <c r="I115" s="54"/>
      <c r="J115" s="54"/>
      <c r="K115" s="39"/>
      <c r="L115" s="39"/>
      <c r="M115" s="39"/>
      <c r="N115" s="39"/>
      <c r="O115" s="39"/>
    </row>
    <row r="116" spans="1:15" s="17" customFormat="1" ht="18" x14ac:dyDescent="0.25">
      <c r="A116" s="18"/>
      <c r="D116" s="39"/>
      <c r="E116" s="54"/>
      <c r="F116" s="54"/>
      <c r="G116" s="54"/>
      <c r="H116" s="54"/>
      <c r="I116" s="54"/>
      <c r="J116" s="54"/>
      <c r="K116" s="39"/>
      <c r="L116" s="39"/>
      <c r="M116" s="39"/>
      <c r="N116" s="39"/>
      <c r="O116" s="39"/>
    </row>
    <row r="117" spans="1:15" s="17" customFormat="1" ht="18" x14ac:dyDescent="0.25">
      <c r="A117" s="18"/>
      <c r="D117" s="39"/>
      <c r="E117" s="54"/>
      <c r="F117" s="54"/>
      <c r="G117" s="54"/>
      <c r="H117" s="54"/>
      <c r="I117" s="54"/>
      <c r="J117" s="54"/>
      <c r="K117" s="39"/>
      <c r="L117" s="39"/>
      <c r="M117" s="39"/>
      <c r="N117" s="39"/>
      <c r="O117" s="39"/>
    </row>
    <row r="118" spans="1:15" s="17" customFormat="1" ht="18" x14ac:dyDescent="0.25">
      <c r="A118" s="18"/>
      <c r="D118" s="39"/>
      <c r="E118" s="39"/>
      <c r="F118"/>
      <c r="G118"/>
      <c r="H118"/>
      <c r="I118" s="66"/>
      <c r="J118" s="66"/>
      <c r="K118" s="39"/>
      <c r="L118" s="39"/>
      <c r="M118" s="39"/>
      <c r="N118" s="39"/>
      <c r="O118" s="39"/>
    </row>
    <row r="119" spans="1:15" s="17" customFormat="1" ht="18" x14ac:dyDescent="0.25">
      <c r="A119" s="18"/>
      <c r="D119" s="39"/>
      <c r="E119" s="39"/>
      <c r="F119"/>
      <c r="G119"/>
      <c r="H119"/>
      <c r="I119" s="66"/>
      <c r="J119" s="66"/>
      <c r="K119" s="39"/>
      <c r="L119" s="39"/>
      <c r="M119" s="39"/>
      <c r="N119" s="39"/>
      <c r="O119" s="39"/>
    </row>
    <row r="120" spans="1:15" s="17" customFormat="1" ht="18" x14ac:dyDescent="0.25">
      <c r="A120" s="18"/>
      <c r="D120" s="39"/>
      <c r="E120" s="55"/>
      <c r="F120" s="55"/>
      <c r="G120" s="55"/>
      <c r="H120" s="54"/>
      <c r="I120" s="60"/>
      <c r="J120" s="61"/>
      <c r="K120" s="39"/>
      <c r="L120" s="39"/>
      <c r="M120" s="39"/>
      <c r="N120" s="39"/>
      <c r="O120" s="39"/>
    </row>
    <row r="121" spans="1:15" s="17" customFormat="1" ht="15" customHeight="1" x14ac:dyDescent="0.2">
      <c r="A121" s="18"/>
      <c r="D121" s="39"/>
      <c r="E121" s="39"/>
      <c r="F121" s="39"/>
      <c r="G121" s="57"/>
      <c r="H121" s="58"/>
      <c r="I121" s="58"/>
      <c r="J121" s="39"/>
      <c r="K121" s="39"/>
      <c r="L121" s="39"/>
      <c r="M121" s="39"/>
      <c r="N121" s="39"/>
      <c r="O121" s="39"/>
    </row>
    <row r="122" spans="1:15" s="13" customFormat="1" ht="14.25" x14ac:dyDescent="0.2">
      <c r="B122" s="14"/>
      <c r="C122" s="14"/>
      <c r="G122" s="19"/>
      <c r="H122" s="15"/>
      <c r="I122" s="15"/>
      <c r="J122" s="15"/>
      <c r="K122" s="15"/>
      <c r="L122" s="15"/>
      <c r="M122" s="15"/>
      <c r="N122" s="15"/>
      <c r="O122" s="15"/>
    </row>
    <row r="123" spans="1:15" s="13" customFormat="1" ht="14.25" x14ac:dyDescent="0.2">
      <c r="B123" s="14"/>
      <c r="C123" s="14"/>
      <c r="G123" s="19"/>
      <c r="H123" s="15"/>
      <c r="I123" s="15"/>
      <c r="J123" s="15"/>
      <c r="K123" s="15"/>
      <c r="L123" s="15"/>
      <c r="M123" s="15"/>
      <c r="N123" s="15"/>
      <c r="O123" s="15"/>
    </row>
    <row r="124" spans="1:15" s="13" customFormat="1" ht="14.25" x14ac:dyDescent="0.2">
      <c r="B124" s="14"/>
      <c r="C124" s="14"/>
      <c r="G124" s="15"/>
      <c r="H124" s="15"/>
      <c r="I124" s="15"/>
      <c r="J124" s="15"/>
      <c r="K124" s="15"/>
      <c r="L124" s="15"/>
      <c r="M124" s="15"/>
      <c r="N124" s="15"/>
      <c r="O124" s="15"/>
    </row>
    <row r="125" spans="1:15" s="13" customFormat="1" ht="14.25" x14ac:dyDescent="0.2">
      <c r="B125" s="14"/>
      <c r="C125" s="14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s="2" customFormat="1" x14ac:dyDescent="0.25">
      <c r="B126"/>
      <c r="C126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2" customFormat="1" x14ac:dyDescent="0.25">
      <c r="B127"/>
      <c r="C127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2" customFormat="1" x14ac:dyDescent="0.25">
      <c r="B128"/>
      <c r="C128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2" customFormat="1" x14ac:dyDescent="0.25">
      <c r="B129"/>
      <c r="C129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2" customFormat="1" x14ac:dyDescent="0.25">
      <c r="B130"/>
      <c r="C130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2" customFormat="1" x14ac:dyDescent="0.25">
      <c r="B131"/>
      <c r="C131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2" customFormat="1" x14ac:dyDescent="0.25">
      <c r="B132"/>
      <c r="C132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2" customFormat="1" x14ac:dyDescent="0.25">
      <c r="B133"/>
      <c r="C13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2" customFormat="1" x14ac:dyDescent="0.25">
      <c r="B134"/>
      <c r="C134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2" customFormat="1" x14ac:dyDescent="0.25">
      <c r="B135"/>
      <c r="C135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2" customFormat="1" x14ac:dyDescent="0.25">
      <c r="B136"/>
      <c r="C136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2" customFormat="1" x14ac:dyDescent="0.25">
      <c r="B137"/>
      <c r="C137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2" customFormat="1" x14ac:dyDescent="0.25">
      <c r="B138"/>
      <c r="C138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2" customFormat="1" x14ac:dyDescent="0.25">
      <c r="B139"/>
      <c r="C139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2" customFormat="1" x14ac:dyDescent="0.25">
      <c r="B140"/>
      <c r="C140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2" customFormat="1" x14ac:dyDescent="0.25">
      <c r="B141"/>
      <c r="C141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2" customFormat="1" x14ac:dyDescent="0.25">
      <c r="B142"/>
      <c r="C142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2" customFormat="1" x14ac:dyDescent="0.25">
      <c r="B143"/>
      <c r="C14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2" customFormat="1" x14ac:dyDescent="0.25">
      <c r="B144"/>
      <c r="C144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2" customFormat="1" x14ac:dyDescent="0.25">
      <c r="B145"/>
      <c r="C145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2" customFormat="1" x14ac:dyDescent="0.25">
      <c r="B146"/>
      <c r="C146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2" customFormat="1" x14ac:dyDescent="0.25">
      <c r="B147"/>
      <c r="C147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2" customFormat="1" x14ac:dyDescent="0.25">
      <c r="B148"/>
      <c r="C148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2" customFormat="1" x14ac:dyDescent="0.25">
      <c r="B149"/>
      <c r="C149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2" customFormat="1" x14ac:dyDescent="0.25">
      <c r="B150"/>
      <c r="C150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2" customFormat="1" x14ac:dyDescent="0.25">
      <c r="B151"/>
      <c r="C151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2" customFormat="1" x14ac:dyDescent="0.25">
      <c r="B152"/>
      <c r="C152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2" customFormat="1" x14ac:dyDescent="0.25">
      <c r="B153"/>
      <c r="C15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2" customFormat="1" x14ac:dyDescent="0.25">
      <c r="B154"/>
      <c r="C154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2" customFormat="1" x14ac:dyDescent="0.25">
      <c r="B155"/>
      <c r="C155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2" customFormat="1" x14ac:dyDescent="0.25">
      <c r="B156"/>
      <c r="C156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2" customFormat="1" x14ac:dyDescent="0.25">
      <c r="B157"/>
      <c r="C157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2" customFormat="1" x14ac:dyDescent="0.25">
      <c r="B158"/>
      <c r="C158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2" customFormat="1" x14ac:dyDescent="0.25">
      <c r="B159"/>
      <c r="C159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2" customFormat="1" x14ac:dyDescent="0.25">
      <c r="B160"/>
      <c r="C160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2" customFormat="1" x14ac:dyDescent="0.25">
      <c r="B161"/>
      <c r="C161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2" customFormat="1" x14ac:dyDescent="0.25">
      <c r="B162"/>
      <c r="C162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2" customFormat="1" x14ac:dyDescent="0.25">
      <c r="B163"/>
      <c r="C16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2" customFormat="1" x14ac:dyDescent="0.25">
      <c r="B164"/>
      <c r="C164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2" customFormat="1" x14ac:dyDescent="0.25">
      <c r="B165"/>
      <c r="C165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2" customFormat="1" x14ac:dyDescent="0.25">
      <c r="B166"/>
      <c r="C166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2" customFormat="1" x14ac:dyDescent="0.25">
      <c r="B167"/>
      <c r="C167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2" customFormat="1" x14ac:dyDescent="0.25">
      <c r="B168"/>
      <c r="C168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2" customFormat="1" x14ac:dyDescent="0.25">
      <c r="B169"/>
      <c r="C169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2" customFormat="1" x14ac:dyDescent="0.25">
      <c r="B170"/>
      <c r="C170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2" customFormat="1" x14ac:dyDescent="0.25">
      <c r="B171"/>
      <c r="C171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2" customFormat="1" x14ac:dyDescent="0.25">
      <c r="B172"/>
      <c r="C172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2" customFormat="1" x14ac:dyDescent="0.25">
      <c r="B173"/>
      <c r="C17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2" customFormat="1" x14ac:dyDescent="0.25">
      <c r="B174"/>
      <c r="C174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2" customFormat="1" x14ac:dyDescent="0.25">
      <c r="B175"/>
      <c r="C175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2" customFormat="1" x14ac:dyDescent="0.25">
      <c r="B176"/>
      <c r="C176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2" customFormat="1" x14ac:dyDescent="0.25">
      <c r="B177"/>
      <c r="C177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2" customFormat="1" x14ac:dyDescent="0.25">
      <c r="B178"/>
      <c r="C178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2" customFormat="1" x14ac:dyDescent="0.25">
      <c r="B179"/>
      <c r="C179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2" customFormat="1" x14ac:dyDescent="0.25">
      <c r="B180"/>
      <c r="C180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2" customFormat="1" x14ac:dyDescent="0.25">
      <c r="B181"/>
      <c r="C181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2" customFormat="1" x14ac:dyDescent="0.25">
      <c r="B182"/>
      <c r="C182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2" customFormat="1" x14ac:dyDescent="0.25">
      <c r="B183"/>
      <c r="C18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2" customFormat="1" x14ac:dyDescent="0.25">
      <c r="B184"/>
      <c r="C184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2" customFormat="1" x14ac:dyDescent="0.25">
      <c r="B185"/>
      <c r="C185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2" customFormat="1" x14ac:dyDescent="0.25">
      <c r="B186"/>
      <c r="C186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2" customFormat="1" x14ac:dyDescent="0.25">
      <c r="B187"/>
      <c r="C187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2" customFormat="1" x14ac:dyDescent="0.25">
      <c r="B188"/>
      <c r="C188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2" customFormat="1" x14ac:dyDescent="0.25">
      <c r="B189"/>
      <c r="C189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2" customFormat="1" x14ac:dyDescent="0.25">
      <c r="B190"/>
      <c r="C190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2" customFormat="1" x14ac:dyDescent="0.25">
      <c r="B191"/>
      <c r="C191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2" customFormat="1" x14ac:dyDescent="0.25">
      <c r="B192"/>
      <c r="C192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2" customFormat="1" x14ac:dyDescent="0.25">
      <c r="B193"/>
      <c r="C19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2" customFormat="1" x14ac:dyDescent="0.25">
      <c r="B194"/>
      <c r="C194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2" customFormat="1" x14ac:dyDescent="0.25">
      <c r="B195"/>
      <c r="C195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2" customFormat="1" x14ac:dyDescent="0.25">
      <c r="B196"/>
      <c r="C196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2" customFormat="1" x14ac:dyDescent="0.25">
      <c r="B197"/>
      <c r="C197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2" customFormat="1" x14ac:dyDescent="0.25">
      <c r="B198"/>
      <c r="C198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2" customFormat="1" x14ac:dyDescent="0.25">
      <c r="B199"/>
      <c r="C199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2" customFormat="1" x14ac:dyDescent="0.25">
      <c r="B200"/>
      <c r="C200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2" customFormat="1" x14ac:dyDescent="0.25">
      <c r="B201"/>
      <c r="C201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2" customFormat="1" x14ac:dyDescent="0.25">
      <c r="B202"/>
      <c r="C202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2" customFormat="1" x14ac:dyDescent="0.25">
      <c r="B203"/>
      <c r="C20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2" customFormat="1" x14ac:dyDescent="0.25">
      <c r="B204"/>
      <c r="C204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2" customFormat="1" x14ac:dyDescent="0.25">
      <c r="B205"/>
      <c r="C205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2" customFormat="1" x14ac:dyDescent="0.25">
      <c r="B206"/>
      <c r="C206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2" customFormat="1" x14ac:dyDescent="0.25">
      <c r="B207"/>
      <c r="C207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2" customFormat="1" x14ac:dyDescent="0.25">
      <c r="B208"/>
      <c r="C208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2" customFormat="1" x14ac:dyDescent="0.25">
      <c r="B209"/>
      <c r="C209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2" customFormat="1" x14ac:dyDescent="0.25">
      <c r="B210"/>
      <c r="C210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2" customFormat="1" x14ac:dyDescent="0.25">
      <c r="B211"/>
      <c r="C211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2" customFormat="1" x14ac:dyDescent="0.25">
      <c r="B212"/>
      <c r="C212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2" customFormat="1" x14ac:dyDescent="0.25">
      <c r="B213"/>
      <c r="C21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2" customFormat="1" x14ac:dyDescent="0.25">
      <c r="B214"/>
      <c r="C214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2" customFormat="1" x14ac:dyDescent="0.25">
      <c r="B215"/>
      <c r="C215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2" customFormat="1" x14ac:dyDescent="0.25">
      <c r="B216"/>
      <c r="C216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2" customFormat="1" x14ac:dyDescent="0.25">
      <c r="B217"/>
      <c r="C217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2" customFormat="1" x14ac:dyDescent="0.25">
      <c r="B218"/>
      <c r="C218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2" customFormat="1" x14ac:dyDescent="0.25">
      <c r="B219"/>
      <c r="C219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2" customFormat="1" x14ac:dyDescent="0.25">
      <c r="B220"/>
      <c r="C220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2" customFormat="1" x14ac:dyDescent="0.25">
      <c r="B221"/>
      <c r="C221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2" customFormat="1" x14ac:dyDescent="0.25">
      <c r="B222"/>
      <c r="C222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2" customFormat="1" x14ac:dyDescent="0.25">
      <c r="B223"/>
      <c r="C22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2" customFormat="1" x14ac:dyDescent="0.25">
      <c r="B224"/>
      <c r="C224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2" customFormat="1" x14ac:dyDescent="0.25">
      <c r="B225"/>
      <c r="C225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2" customFormat="1" x14ac:dyDescent="0.25">
      <c r="B226"/>
      <c r="C226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2" customFormat="1" x14ac:dyDescent="0.25">
      <c r="B227"/>
      <c r="C227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2" customFormat="1" x14ac:dyDescent="0.25">
      <c r="B228"/>
      <c r="C228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2" customFormat="1" x14ac:dyDescent="0.25">
      <c r="B229"/>
      <c r="C229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2" customFormat="1" x14ac:dyDescent="0.25">
      <c r="B230"/>
      <c r="C230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2" customFormat="1" x14ac:dyDescent="0.25">
      <c r="B231"/>
      <c r="C231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2" customFormat="1" x14ac:dyDescent="0.25">
      <c r="B232"/>
      <c r="C232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2" customFormat="1" x14ac:dyDescent="0.25">
      <c r="B233"/>
      <c r="C23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2" customFormat="1" x14ac:dyDescent="0.25">
      <c r="B234"/>
      <c r="C234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2" customFormat="1" x14ac:dyDescent="0.25">
      <c r="B235"/>
      <c r="C235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2" customFormat="1" x14ac:dyDescent="0.25">
      <c r="B236"/>
      <c r="C236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2" customFormat="1" x14ac:dyDescent="0.25">
      <c r="B237"/>
      <c r="C237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2" customFormat="1" x14ac:dyDescent="0.25">
      <c r="B238"/>
      <c r="C238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2" customFormat="1" x14ac:dyDescent="0.25">
      <c r="B239"/>
      <c r="C239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2" customFormat="1" x14ac:dyDescent="0.25">
      <c r="B240"/>
      <c r="C240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2" customFormat="1" x14ac:dyDescent="0.25">
      <c r="B241"/>
      <c r="C241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2" customFormat="1" x14ac:dyDescent="0.25">
      <c r="B242"/>
      <c r="C242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2" customFormat="1" x14ac:dyDescent="0.25">
      <c r="B243"/>
      <c r="C24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2" customFormat="1" x14ac:dyDescent="0.25">
      <c r="B244"/>
      <c r="C244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2" customFormat="1" x14ac:dyDescent="0.25">
      <c r="B245"/>
      <c r="C245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2" customFormat="1" x14ac:dyDescent="0.25">
      <c r="B246"/>
      <c r="C246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2" customFormat="1" x14ac:dyDescent="0.25">
      <c r="B247"/>
      <c r="C247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2" customFormat="1" x14ac:dyDescent="0.25">
      <c r="B248"/>
      <c r="C248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2" customFormat="1" x14ac:dyDescent="0.25">
      <c r="B249"/>
      <c r="C249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2" customFormat="1" x14ac:dyDescent="0.25">
      <c r="B250"/>
      <c r="C250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2" customFormat="1" x14ac:dyDescent="0.25">
      <c r="B251"/>
      <c r="C251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2" customFormat="1" x14ac:dyDescent="0.25">
      <c r="B252"/>
      <c r="C252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2" customFormat="1" x14ac:dyDescent="0.25">
      <c r="B253"/>
      <c r="C25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2" customFormat="1" x14ac:dyDescent="0.25">
      <c r="B254"/>
      <c r="C254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2" customFormat="1" x14ac:dyDescent="0.25">
      <c r="B255"/>
      <c r="C255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2" customFormat="1" x14ac:dyDescent="0.25">
      <c r="B256"/>
      <c r="C256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2" customFormat="1" x14ac:dyDescent="0.25">
      <c r="B257"/>
      <c r="C257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2" customFormat="1" x14ac:dyDescent="0.25">
      <c r="B258"/>
      <c r="C258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2" customFormat="1" x14ac:dyDescent="0.25">
      <c r="B259"/>
      <c r="C259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2" customFormat="1" x14ac:dyDescent="0.25">
      <c r="B260"/>
      <c r="C260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2" customFormat="1" x14ac:dyDescent="0.25">
      <c r="B261"/>
      <c r="C261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2" customFormat="1" x14ac:dyDescent="0.25">
      <c r="B262"/>
      <c r="C262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2" customFormat="1" x14ac:dyDescent="0.25">
      <c r="B263"/>
      <c r="C26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2" customFormat="1" x14ac:dyDescent="0.25">
      <c r="B264"/>
      <c r="C264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2" customFormat="1" x14ac:dyDescent="0.25">
      <c r="B265"/>
      <c r="C265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2" customFormat="1" x14ac:dyDescent="0.25">
      <c r="B266"/>
      <c r="C266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2" customFormat="1" x14ac:dyDescent="0.25">
      <c r="B267"/>
      <c r="C267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2" customFormat="1" x14ac:dyDescent="0.25">
      <c r="B268"/>
      <c r="C268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2" customFormat="1" x14ac:dyDescent="0.25">
      <c r="B269"/>
      <c r="C269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2" customFormat="1" x14ac:dyDescent="0.25">
      <c r="B270"/>
      <c r="C270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2" customFormat="1" x14ac:dyDescent="0.25">
      <c r="B271"/>
      <c r="C271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2" customFormat="1" x14ac:dyDescent="0.25">
      <c r="B272"/>
      <c r="C272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2" customFormat="1" x14ac:dyDescent="0.25">
      <c r="B273"/>
      <c r="C27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2" customFormat="1" x14ac:dyDescent="0.25">
      <c r="B274"/>
      <c r="C274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2" customFormat="1" x14ac:dyDescent="0.25">
      <c r="B275"/>
      <c r="C275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2" customFormat="1" x14ac:dyDescent="0.25">
      <c r="B276"/>
      <c r="C276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2" customFormat="1" x14ac:dyDescent="0.25">
      <c r="B277"/>
      <c r="C277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2" customFormat="1" x14ac:dyDescent="0.25">
      <c r="B278"/>
      <c r="C278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2" customFormat="1" x14ac:dyDescent="0.25">
      <c r="B279"/>
      <c r="C279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2" customFormat="1" x14ac:dyDescent="0.25">
      <c r="B280"/>
      <c r="C280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2" customFormat="1" x14ac:dyDescent="0.25">
      <c r="B281"/>
      <c r="C281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2" customFormat="1" x14ac:dyDescent="0.25">
      <c r="B282"/>
      <c r="C282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2" customFormat="1" x14ac:dyDescent="0.25">
      <c r="B283"/>
      <c r="C28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2" customFormat="1" x14ac:dyDescent="0.25">
      <c r="B284"/>
      <c r="C284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2" customFormat="1" x14ac:dyDescent="0.25">
      <c r="B285"/>
      <c r="C285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2" customFormat="1" x14ac:dyDescent="0.25">
      <c r="B286"/>
      <c r="C286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2" customFormat="1" x14ac:dyDescent="0.25">
      <c r="B287"/>
      <c r="C287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2" customFormat="1" x14ac:dyDescent="0.25">
      <c r="B288"/>
      <c r="C288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2" customFormat="1" x14ac:dyDescent="0.25">
      <c r="B289"/>
      <c r="C289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2" customFormat="1" x14ac:dyDescent="0.25">
      <c r="B290"/>
      <c r="C290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2" customFormat="1" x14ac:dyDescent="0.25">
      <c r="B291"/>
      <c r="C291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2" customFormat="1" x14ac:dyDescent="0.25">
      <c r="B292"/>
      <c r="C292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2" customFormat="1" x14ac:dyDescent="0.25">
      <c r="B293"/>
      <c r="C29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2" customFormat="1" x14ac:dyDescent="0.25">
      <c r="B294"/>
      <c r="C294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2" customFormat="1" x14ac:dyDescent="0.25">
      <c r="B295"/>
      <c r="C295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2" customFormat="1" x14ac:dyDescent="0.25">
      <c r="B296"/>
      <c r="C296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2" customFormat="1" x14ac:dyDescent="0.25">
      <c r="B297"/>
      <c r="C297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2" customFormat="1" x14ac:dyDescent="0.25">
      <c r="B298"/>
      <c r="C298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2" customFormat="1" x14ac:dyDescent="0.25">
      <c r="B299"/>
      <c r="C299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2" customFormat="1" x14ac:dyDescent="0.25">
      <c r="B300"/>
      <c r="C300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2" customFormat="1" x14ac:dyDescent="0.25">
      <c r="B301"/>
      <c r="C301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2" customFormat="1" x14ac:dyDescent="0.25">
      <c r="B302"/>
      <c r="C302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2" customFormat="1" x14ac:dyDescent="0.25">
      <c r="B303"/>
      <c r="C30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2" customFormat="1" x14ac:dyDescent="0.25">
      <c r="B304"/>
      <c r="C304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2" customFormat="1" x14ac:dyDescent="0.25">
      <c r="B305"/>
      <c r="C305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2" customFormat="1" x14ac:dyDescent="0.25">
      <c r="B306"/>
      <c r="C306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2" customFormat="1" x14ac:dyDescent="0.25">
      <c r="B307"/>
      <c r="C307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2" customFormat="1" x14ac:dyDescent="0.25">
      <c r="B308"/>
      <c r="C308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2" customFormat="1" x14ac:dyDescent="0.25">
      <c r="B309"/>
      <c r="C309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2" customFormat="1" x14ac:dyDescent="0.25">
      <c r="B310"/>
      <c r="C310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2" customFormat="1" x14ac:dyDescent="0.25">
      <c r="B311"/>
      <c r="C311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2" customFormat="1" x14ac:dyDescent="0.25">
      <c r="B312"/>
      <c r="C312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2" customFormat="1" x14ac:dyDescent="0.25">
      <c r="B313"/>
      <c r="C31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2" customFormat="1" x14ac:dyDescent="0.25">
      <c r="B314"/>
      <c r="C314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2" customFormat="1" x14ac:dyDescent="0.25">
      <c r="B315"/>
      <c r="C315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2" customFormat="1" x14ac:dyDescent="0.25">
      <c r="B316"/>
      <c r="C316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2" customFormat="1" x14ac:dyDescent="0.25">
      <c r="B317"/>
      <c r="C317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2" customFormat="1" x14ac:dyDescent="0.25">
      <c r="B318"/>
      <c r="C318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2" customFormat="1" x14ac:dyDescent="0.25">
      <c r="B319"/>
      <c r="C319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2" customFormat="1" x14ac:dyDescent="0.25">
      <c r="B320"/>
      <c r="C320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2" customFormat="1" x14ac:dyDescent="0.25">
      <c r="B321"/>
      <c r="C321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2" customFormat="1" x14ac:dyDescent="0.25">
      <c r="B322"/>
      <c r="C322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2" customFormat="1" x14ac:dyDescent="0.25">
      <c r="B323"/>
      <c r="C32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2" customFormat="1" x14ac:dyDescent="0.25">
      <c r="B324"/>
      <c r="C324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2" customFormat="1" x14ac:dyDescent="0.25">
      <c r="B325"/>
      <c r="C325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2" customFormat="1" x14ac:dyDescent="0.25">
      <c r="B326"/>
      <c r="C326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2" customFormat="1" x14ac:dyDescent="0.25">
      <c r="B327"/>
      <c r="C327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2" customFormat="1" x14ac:dyDescent="0.25">
      <c r="B328"/>
      <c r="C328"/>
      <c r="G328" s="3"/>
      <c r="H328" s="3"/>
      <c r="I328" s="3"/>
      <c r="J328" s="3"/>
      <c r="K328" s="3"/>
      <c r="L328" s="3"/>
      <c r="M328" s="3"/>
      <c r="N328" s="3"/>
      <c r="O328" s="3"/>
    </row>
    <row r="329" spans="2:15" s="2" customFormat="1" x14ac:dyDescent="0.25">
      <c r="B329"/>
      <c r="C329"/>
      <c r="G329" s="3"/>
      <c r="H329" s="3"/>
      <c r="I329" s="3"/>
      <c r="J329" s="3"/>
      <c r="K329" s="3"/>
      <c r="L329" s="3"/>
      <c r="M329" s="3"/>
      <c r="N329" s="3"/>
      <c r="O329" s="3"/>
    </row>
    <row r="330" spans="2:15" s="2" customFormat="1" x14ac:dyDescent="0.25">
      <c r="B330"/>
      <c r="C330"/>
      <c r="G330" s="3"/>
      <c r="H330" s="3"/>
      <c r="I330" s="3"/>
      <c r="J330" s="3"/>
      <c r="K330" s="3"/>
      <c r="L330" s="3"/>
      <c r="M330" s="3"/>
      <c r="N330" s="3"/>
      <c r="O330" s="3"/>
    </row>
    <row r="331" spans="2:15" s="2" customFormat="1" x14ac:dyDescent="0.25">
      <c r="B331"/>
      <c r="C331"/>
      <c r="G331" s="3"/>
      <c r="H331" s="3"/>
      <c r="I331" s="3"/>
      <c r="J331" s="3"/>
      <c r="K331" s="3"/>
      <c r="L331" s="3"/>
      <c r="M331" s="3"/>
      <c r="N331" s="3"/>
      <c r="O331" s="3"/>
    </row>
    <row r="332" spans="2:15" s="2" customFormat="1" x14ac:dyDescent="0.25">
      <c r="B332"/>
      <c r="C332"/>
      <c r="G332" s="3"/>
      <c r="H332" s="3"/>
      <c r="I332" s="3"/>
      <c r="J332" s="3"/>
      <c r="K332" s="3"/>
      <c r="L332" s="3"/>
      <c r="M332" s="3"/>
      <c r="N332" s="3"/>
      <c r="O332" s="3"/>
    </row>
    <row r="333" spans="2:15" s="2" customFormat="1" x14ac:dyDescent="0.25">
      <c r="B333"/>
      <c r="C333"/>
      <c r="G333" s="3"/>
      <c r="H333" s="3"/>
      <c r="I333" s="3"/>
      <c r="J333" s="3"/>
      <c r="K333" s="3"/>
      <c r="L333" s="3"/>
      <c r="M333" s="3"/>
      <c r="N333" s="3"/>
      <c r="O333" s="3"/>
    </row>
    <row r="334" spans="2:15" s="2" customFormat="1" x14ac:dyDescent="0.25">
      <c r="B334"/>
      <c r="C334"/>
      <c r="G334" s="3"/>
      <c r="H334" s="3"/>
      <c r="I334" s="3"/>
      <c r="J334" s="3"/>
      <c r="K334" s="3"/>
      <c r="L334" s="3"/>
      <c r="M334" s="3"/>
      <c r="N334" s="3"/>
      <c r="O334" s="3"/>
    </row>
    <row r="335" spans="2:15" s="2" customFormat="1" x14ac:dyDescent="0.25">
      <c r="B335"/>
      <c r="C335"/>
      <c r="G335" s="3"/>
      <c r="H335" s="3"/>
      <c r="I335" s="3"/>
      <c r="J335" s="3"/>
      <c r="K335" s="3"/>
      <c r="L335" s="3"/>
      <c r="M335" s="3"/>
      <c r="N335" s="3"/>
      <c r="O335" s="3"/>
    </row>
    <row r="336" spans="2:15" s="2" customFormat="1" x14ac:dyDescent="0.25">
      <c r="B336"/>
      <c r="C336"/>
      <c r="G336" s="3"/>
      <c r="H336" s="3"/>
      <c r="I336" s="3"/>
      <c r="J336" s="3"/>
      <c r="K336" s="3"/>
      <c r="L336" s="3"/>
      <c r="M336" s="3"/>
      <c r="N336" s="3"/>
      <c r="O336" s="3"/>
    </row>
    <row r="337" spans="2:15" s="2" customFormat="1" x14ac:dyDescent="0.25">
      <c r="B337"/>
      <c r="C337"/>
      <c r="G337" s="3"/>
      <c r="H337" s="3"/>
      <c r="I337" s="3"/>
      <c r="J337" s="3"/>
      <c r="K337" s="3"/>
      <c r="L337" s="3"/>
      <c r="M337" s="3"/>
      <c r="N337" s="3"/>
      <c r="O337" s="3"/>
    </row>
    <row r="338" spans="2:15" s="2" customFormat="1" x14ac:dyDescent="0.25">
      <c r="B338"/>
      <c r="C338"/>
      <c r="G338" s="3"/>
      <c r="H338" s="3"/>
      <c r="I338" s="3"/>
      <c r="J338" s="3"/>
      <c r="K338" s="3"/>
      <c r="L338" s="3"/>
      <c r="M338" s="3"/>
      <c r="N338" s="3"/>
      <c r="O338" s="3"/>
    </row>
    <row r="339" spans="2:15" s="2" customFormat="1" x14ac:dyDescent="0.25">
      <c r="B339"/>
      <c r="C339"/>
      <c r="G339" s="3"/>
      <c r="H339" s="3"/>
      <c r="I339" s="3"/>
      <c r="J339" s="3"/>
      <c r="K339" s="3"/>
      <c r="L339" s="3"/>
      <c r="M339" s="3"/>
      <c r="N339" s="3"/>
      <c r="O339" s="3"/>
    </row>
    <row r="340" spans="2:15" s="2" customFormat="1" x14ac:dyDescent="0.25">
      <c r="B340"/>
      <c r="C340"/>
      <c r="G340" s="3"/>
      <c r="H340" s="3"/>
      <c r="I340" s="3"/>
      <c r="J340" s="3"/>
      <c r="K340" s="3"/>
      <c r="L340" s="3"/>
      <c r="M340" s="3"/>
      <c r="N340" s="3"/>
      <c r="O340" s="3"/>
    </row>
    <row r="341" spans="2:15" s="2" customFormat="1" x14ac:dyDescent="0.25">
      <c r="B341"/>
      <c r="C341"/>
      <c r="G341" s="3"/>
      <c r="H341" s="3"/>
      <c r="I341" s="3"/>
      <c r="J341" s="3"/>
      <c r="K341" s="3"/>
      <c r="L341" s="3"/>
      <c r="M341" s="3"/>
      <c r="N341" s="3"/>
      <c r="O341" s="3"/>
    </row>
    <row r="342" spans="2:15" s="2" customFormat="1" x14ac:dyDescent="0.25">
      <c r="B342"/>
      <c r="C342"/>
      <c r="G342" s="3"/>
      <c r="H342" s="3"/>
      <c r="I342" s="3"/>
      <c r="J342" s="3"/>
      <c r="K342" s="3"/>
      <c r="L342" s="3"/>
      <c r="M342" s="3"/>
      <c r="N342" s="3"/>
      <c r="O342" s="3"/>
    </row>
    <row r="343" spans="2:15" s="2" customFormat="1" x14ac:dyDescent="0.25">
      <c r="B343"/>
      <c r="C343"/>
      <c r="G343" s="3"/>
      <c r="H343" s="3"/>
      <c r="I343" s="3"/>
      <c r="J343" s="3"/>
      <c r="K343" s="3"/>
      <c r="L343" s="3"/>
      <c r="M343" s="3"/>
      <c r="N343" s="3"/>
      <c r="O343" s="3"/>
    </row>
    <row r="344" spans="2:15" s="2" customFormat="1" x14ac:dyDescent="0.25">
      <c r="B344"/>
      <c r="C344"/>
      <c r="G344" s="3"/>
      <c r="H344" s="3"/>
      <c r="I344" s="3"/>
      <c r="J344" s="3"/>
      <c r="K344" s="3"/>
      <c r="L344" s="3"/>
      <c r="M344" s="3"/>
      <c r="N344" s="3"/>
      <c r="O344" s="3"/>
    </row>
    <row r="345" spans="2:15" s="2" customFormat="1" x14ac:dyDescent="0.25">
      <c r="B345"/>
      <c r="C345"/>
      <c r="G345" s="3"/>
      <c r="H345" s="3"/>
      <c r="I345" s="3"/>
      <c r="J345" s="3"/>
      <c r="K345" s="3"/>
      <c r="L345" s="3"/>
      <c r="M345" s="3"/>
      <c r="N345" s="3"/>
      <c r="O345" s="3"/>
    </row>
    <row r="346" spans="2:15" s="2" customFormat="1" x14ac:dyDescent="0.25">
      <c r="B346"/>
      <c r="C346"/>
      <c r="G346" s="3"/>
      <c r="H346" s="3"/>
      <c r="I346" s="3"/>
      <c r="J346" s="3"/>
      <c r="K346" s="3"/>
      <c r="L346" s="3"/>
      <c r="M346" s="3"/>
      <c r="N346" s="3"/>
      <c r="O346" s="3"/>
    </row>
    <row r="347" spans="2:15" s="2" customFormat="1" x14ac:dyDescent="0.25">
      <c r="B347"/>
      <c r="C347"/>
      <c r="G347" s="3"/>
      <c r="H347" s="3"/>
      <c r="I347" s="3"/>
      <c r="J347" s="3"/>
      <c r="K347" s="3"/>
      <c r="L347" s="3"/>
      <c r="M347" s="3"/>
      <c r="N347" s="3"/>
      <c r="O347" s="3"/>
    </row>
    <row r="348" spans="2:15" s="2" customFormat="1" x14ac:dyDescent="0.25">
      <c r="B348"/>
      <c r="C348"/>
      <c r="G348" s="3"/>
      <c r="H348" s="3"/>
      <c r="I348" s="3"/>
      <c r="J348" s="3"/>
      <c r="K348" s="3"/>
      <c r="L348" s="3"/>
      <c r="M348" s="3"/>
      <c r="N348" s="3"/>
      <c r="O348" s="3"/>
    </row>
    <row r="349" spans="2:15" s="2" customFormat="1" x14ac:dyDescent="0.25">
      <c r="B349"/>
      <c r="C349"/>
      <c r="G349" s="3"/>
      <c r="H349" s="3"/>
      <c r="I349" s="3"/>
      <c r="J349" s="3"/>
      <c r="K349" s="3"/>
      <c r="L349" s="3"/>
      <c r="M349" s="3"/>
      <c r="N349" s="3"/>
      <c r="O349" s="3"/>
    </row>
    <row r="350" spans="2:15" s="2" customFormat="1" x14ac:dyDescent="0.25">
      <c r="B350"/>
      <c r="C350"/>
      <c r="G350" s="3"/>
      <c r="H350" s="3"/>
      <c r="I350" s="3"/>
      <c r="J350" s="3"/>
      <c r="K350" s="3"/>
      <c r="L350" s="3"/>
      <c r="M350" s="3"/>
      <c r="N350" s="3"/>
      <c r="O350" s="3"/>
    </row>
    <row r="351" spans="2:15" s="2" customFormat="1" x14ac:dyDescent="0.25">
      <c r="B351"/>
      <c r="C351"/>
      <c r="G351" s="3"/>
      <c r="H351" s="3"/>
      <c r="I351" s="3"/>
      <c r="J351" s="3"/>
      <c r="K351" s="3"/>
      <c r="L351" s="3"/>
      <c r="M351" s="3"/>
      <c r="N351" s="3"/>
      <c r="O351" s="3"/>
    </row>
    <row r="352" spans="2:15" s="2" customFormat="1" x14ac:dyDescent="0.25">
      <c r="B352"/>
      <c r="C352"/>
      <c r="G352" s="3"/>
      <c r="H352" s="3"/>
      <c r="I352" s="3"/>
      <c r="J352" s="3"/>
      <c r="K352" s="3"/>
      <c r="L352" s="3"/>
      <c r="M352" s="3"/>
      <c r="N352" s="3"/>
      <c r="O352" s="3"/>
    </row>
    <row r="353" spans="2:15" s="2" customFormat="1" x14ac:dyDescent="0.25">
      <c r="B353"/>
      <c r="C353"/>
      <c r="G353" s="3"/>
      <c r="H353" s="3"/>
      <c r="I353" s="3"/>
      <c r="J353" s="3"/>
      <c r="K353" s="3"/>
      <c r="L353" s="3"/>
      <c r="M353" s="3"/>
      <c r="N353" s="3"/>
      <c r="O353" s="3"/>
    </row>
    <row r="354" spans="2:15" s="2" customFormat="1" x14ac:dyDescent="0.25">
      <c r="B354"/>
      <c r="C354"/>
      <c r="G354" s="3"/>
      <c r="H354" s="3"/>
      <c r="I354" s="3"/>
      <c r="J354" s="3"/>
      <c r="K354" s="3"/>
      <c r="L354" s="3"/>
      <c r="M354" s="3"/>
      <c r="N354" s="3"/>
      <c r="O354" s="3"/>
    </row>
    <row r="355" spans="2:15" s="2" customFormat="1" x14ac:dyDescent="0.25">
      <c r="B355"/>
      <c r="C355"/>
      <c r="G355" s="3"/>
      <c r="H355" s="3"/>
      <c r="I355" s="3"/>
      <c r="J355" s="3"/>
      <c r="K355" s="3"/>
      <c r="L355" s="3"/>
      <c r="M355" s="3"/>
      <c r="N355" s="3"/>
      <c r="O355" s="3"/>
    </row>
    <row r="356" spans="2:15" s="2" customFormat="1" x14ac:dyDescent="0.25">
      <c r="B356"/>
      <c r="C356"/>
      <c r="G356" s="3"/>
      <c r="H356" s="3"/>
      <c r="I356" s="3"/>
      <c r="J356" s="3"/>
      <c r="K356" s="3"/>
      <c r="L356" s="3"/>
      <c r="M356" s="3"/>
      <c r="N356" s="3"/>
      <c r="O356" s="3"/>
    </row>
    <row r="357" spans="2:15" s="2" customFormat="1" x14ac:dyDescent="0.25">
      <c r="B357"/>
      <c r="C357"/>
      <c r="G357" s="3"/>
      <c r="H357" s="3"/>
      <c r="I357" s="3"/>
      <c r="J357" s="3"/>
      <c r="K357" s="3"/>
      <c r="L357" s="3"/>
      <c r="M357" s="3"/>
      <c r="N357" s="3"/>
      <c r="O357" s="3"/>
    </row>
    <row r="358" spans="2:15" s="2" customFormat="1" x14ac:dyDescent="0.25">
      <c r="B358"/>
      <c r="C358"/>
      <c r="G358" s="3"/>
      <c r="H358" s="3"/>
      <c r="I358" s="3"/>
      <c r="J358" s="3"/>
      <c r="K358" s="3"/>
      <c r="L358" s="3"/>
      <c r="M358" s="3"/>
      <c r="N358" s="3"/>
      <c r="O358" s="3"/>
    </row>
    <row r="359" spans="2:15" s="2" customFormat="1" x14ac:dyDescent="0.25">
      <c r="B359"/>
      <c r="C359"/>
      <c r="G359" s="3"/>
      <c r="H359" s="3"/>
      <c r="I359" s="3"/>
      <c r="J359" s="3"/>
      <c r="K359" s="3"/>
      <c r="L359" s="3"/>
      <c r="M359" s="3"/>
      <c r="N359" s="3"/>
      <c r="O359" s="3"/>
    </row>
    <row r="360" spans="2:15" s="2" customFormat="1" x14ac:dyDescent="0.25">
      <c r="B360"/>
      <c r="C360"/>
      <c r="G360" s="3"/>
      <c r="H360" s="3"/>
      <c r="I360" s="3"/>
      <c r="J360" s="3"/>
      <c r="K360" s="3"/>
      <c r="L360" s="3"/>
      <c r="M360" s="3"/>
      <c r="N360" s="3"/>
      <c r="O360" s="3"/>
    </row>
    <row r="361" spans="2:15" s="2" customFormat="1" x14ac:dyDescent="0.25">
      <c r="B361"/>
      <c r="C361"/>
      <c r="G361" s="3"/>
      <c r="H361" s="3"/>
      <c r="I361" s="3"/>
      <c r="J361" s="3"/>
      <c r="K361" s="3"/>
      <c r="L361" s="3"/>
      <c r="M361" s="3"/>
      <c r="N361" s="3"/>
      <c r="O361" s="3"/>
    </row>
    <row r="362" spans="2:15" s="2" customFormat="1" x14ac:dyDescent="0.25">
      <c r="B362"/>
      <c r="C362"/>
      <c r="G362" s="3"/>
      <c r="H362" s="3"/>
      <c r="I362" s="3"/>
      <c r="J362" s="3"/>
      <c r="K362" s="3"/>
      <c r="L362" s="3"/>
      <c r="M362" s="3"/>
      <c r="N362" s="3"/>
      <c r="O362" s="3"/>
    </row>
    <row r="363" spans="2:15" s="2" customFormat="1" x14ac:dyDescent="0.25">
      <c r="B363"/>
      <c r="C363"/>
      <c r="G363" s="3"/>
      <c r="H363" s="3"/>
      <c r="I363" s="3"/>
      <c r="J363" s="3"/>
      <c r="K363" s="3"/>
      <c r="L363" s="3"/>
      <c r="M363" s="3"/>
      <c r="N363" s="3"/>
      <c r="O363" s="3"/>
    </row>
    <row r="364" spans="2:15" s="2" customFormat="1" x14ac:dyDescent="0.25">
      <c r="B364"/>
      <c r="C364"/>
      <c r="G364" s="3"/>
      <c r="H364" s="3"/>
      <c r="I364" s="3"/>
      <c r="J364" s="3"/>
      <c r="K364" s="3"/>
      <c r="L364" s="3"/>
      <c r="M364" s="3"/>
      <c r="N364" s="3"/>
      <c r="O364" s="3"/>
    </row>
    <row r="365" spans="2:15" s="2" customFormat="1" x14ac:dyDescent="0.25">
      <c r="B365"/>
      <c r="C365"/>
      <c r="G365" s="3"/>
      <c r="H365" s="3"/>
      <c r="I365" s="3"/>
      <c r="J365" s="3"/>
      <c r="K365" s="3"/>
      <c r="L365" s="3"/>
      <c r="M365" s="3"/>
      <c r="N365" s="3"/>
      <c r="O365" s="3"/>
    </row>
    <row r="366" spans="2:15" s="2" customFormat="1" x14ac:dyDescent="0.25">
      <c r="B366"/>
      <c r="C366"/>
      <c r="G366" s="3"/>
      <c r="H366" s="3"/>
      <c r="I366" s="3"/>
      <c r="J366" s="3"/>
      <c r="K366" s="3"/>
      <c r="L366" s="3"/>
      <c r="M366" s="3"/>
      <c r="N366" s="3"/>
      <c r="O366" s="3"/>
    </row>
    <row r="367" spans="2:15" s="2" customFormat="1" x14ac:dyDescent="0.25">
      <c r="B367"/>
      <c r="C367"/>
      <c r="G367" s="3"/>
      <c r="H367" s="3"/>
      <c r="I367" s="3"/>
      <c r="J367" s="3"/>
      <c r="K367" s="3"/>
      <c r="L367" s="3"/>
      <c r="M367" s="3"/>
      <c r="N367" s="3"/>
      <c r="O367" s="3"/>
    </row>
    <row r="368" spans="2:15" s="2" customFormat="1" x14ac:dyDescent="0.25">
      <c r="B368"/>
      <c r="C368"/>
      <c r="G368" s="3"/>
      <c r="H368" s="3"/>
      <c r="I368" s="3"/>
      <c r="J368" s="3"/>
      <c r="K368" s="3"/>
      <c r="L368" s="3"/>
      <c r="M368" s="3"/>
      <c r="N368" s="3"/>
      <c r="O368" s="3"/>
    </row>
  </sheetData>
  <mergeCells count="13">
    <mergeCell ref="D111:F111"/>
    <mergeCell ref="I119:J119"/>
    <mergeCell ref="B1:O1"/>
    <mergeCell ref="B2:O2"/>
    <mergeCell ref="B3:O3"/>
    <mergeCell ref="B4:O4"/>
    <mergeCell ref="B5:O5"/>
    <mergeCell ref="B7:O7"/>
    <mergeCell ref="I118:J118"/>
    <mergeCell ref="B6:O6"/>
    <mergeCell ref="I111:K111"/>
    <mergeCell ref="I112:K112"/>
    <mergeCell ref="D112:F112"/>
  </mergeCells>
  <pageMargins left="0.23622047244094491" right="0.23622047244094491" top="0.74803149606299213" bottom="0.74803149606299213" header="0.31496062992125984" footer="0.31496062992125984"/>
  <pageSetup paperSize="5" scale="50" orientation="landscape" r:id="rId1"/>
  <rowBreaks count="3" manualBreakCount="3">
    <brk id="49" max="14" man="1"/>
    <brk id="79" max="14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Ejecución PortaL AGOSTO</vt:lpstr>
      <vt:lpstr>'Ejecución PortaL AGOSTO'!Área_de_impresión</vt:lpstr>
      <vt:lpstr>'Ejecución PortaL AGOSTO'!Títulos_a_imprimir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Maria Rojas</cp:lastModifiedBy>
  <cp:lastPrinted>2021-09-03T19:32:09Z</cp:lastPrinted>
  <dcterms:created xsi:type="dcterms:W3CDTF">2019-02-08T13:48:25Z</dcterms:created>
  <dcterms:modified xsi:type="dcterms:W3CDTF">2021-09-03T19:40:02Z</dcterms:modified>
</cp:coreProperties>
</file>