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K Sorange New\Desktop\BACKUP. MARIA\CARPETA INCART-TRABAJOS DIARIOS\2021\7. CONTABILIDAD JULIO 2021\EJECUCION\"/>
    </mc:Choice>
  </mc:AlternateContent>
  <workbookProtection workbookAlgorithmName="SHA-512" workbookHashValue="Xp7HgS8FtE4B89smW0SrYCOtcMb6hvNU9CT1kUF6wXCZzWP9P+94tomEqEzqKoyofN29r6F2NOxTJW8vz+OiHQ==" workbookSaltValue="J/+kcnlkGHN+DgMHfNtAZQ==" workbookSpinCount="100000" lockStructure="1"/>
  <bookViews>
    <workbookView xWindow="0" yWindow="0" windowWidth="20490" windowHeight="7455"/>
  </bookViews>
  <sheets>
    <sheet name="Ejecución PortaL JULIO" sheetId="1" r:id="rId1"/>
  </sheets>
  <definedNames>
    <definedName name="_xlnm.Print_Area" localSheetId="0">'Ejecución PortaL JULIO'!$A$1:$O$119</definedName>
    <definedName name="_xlnm.Print_Titles" localSheetId="0">'Ejecución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1" l="1"/>
  <c r="J34" i="1"/>
  <c r="J30" i="1"/>
  <c r="J25" i="1"/>
  <c r="J24" i="1"/>
  <c r="J18" i="1"/>
  <c r="J16" i="1"/>
  <c r="J13" i="1"/>
  <c r="J12" i="1"/>
  <c r="I55" i="1" l="1"/>
  <c r="I37" i="1"/>
  <c r="I34" i="1"/>
  <c r="I33" i="1"/>
  <c r="I32" i="1"/>
  <c r="I25" i="1"/>
  <c r="I24" i="1"/>
  <c r="I18" i="1"/>
  <c r="I16" i="1"/>
  <c r="I13" i="1"/>
  <c r="I12" i="1" l="1"/>
  <c r="G13" i="1" l="1"/>
  <c r="H25" i="1" l="1"/>
  <c r="H24" i="1"/>
  <c r="H37" i="1" l="1"/>
  <c r="H13" i="1"/>
  <c r="H30" i="1"/>
  <c r="H18" i="1"/>
  <c r="H16" i="1"/>
  <c r="H12" i="1"/>
  <c r="G25" i="1" l="1"/>
  <c r="G17" i="1" s="1"/>
  <c r="G24" i="1"/>
  <c r="G55" i="1"/>
  <c r="G16" i="1"/>
  <c r="G12" i="1"/>
  <c r="F57" i="1" l="1"/>
  <c r="F55" i="1"/>
  <c r="F37" i="1"/>
  <c r="F34" i="1"/>
  <c r="F33" i="1"/>
  <c r="F32" i="1"/>
  <c r="F30" i="1"/>
  <c r="F29" i="1"/>
  <c r="F25" i="1"/>
  <c r="F24" i="1"/>
  <c r="F21" i="1"/>
  <c r="F19" i="1"/>
  <c r="F16" i="1"/>
  <c r="F13" i="1"/>
  <c r="F12" i="1"/>
  <c r="E25" i="1"/>
  <c r="E62" i="1"/>
  <c r="E55" i="1"/>
  <c r="E37" i="1"/>
  <c r="E34" i="1"/>
  <c r="E33" i="1"/>
  <c r="E30" i="1"/>
  <c r="E24" i="1"/>
  <c r="E18" i="1"/>
  <c r="E16" i="1"/>
  <c r="D13" i="1"/>
  <c r="E13" i="1"/>
  <c r="E12" i="1"/>
  <c r="E11" i="1" l="1"/>
  <c r="D16" i="1"/>
  <c r="D37" i="1"/>
  <c r="D34" i="1"/>
  <c r="D33" i="1"/>
  <c r="D32" i="1"/>
  <c r="D29" i="1"/>
  <c r="D25" i="1"/>
  <c r="C25" i="1" s="1"/>
  <c r="C19" i="1"/>
  <c r="C20" i="1"/>
  <c r="C21" i="1"/>
  <c r="C24" i="1"/>
  <c r="L17" i="1" l="1"/>
  <c r="M54" i="1" l="1"/>
  <c r="N54" i="1"/>
  <c r="O54" i="1"/>
  <c r="M27" i="1"/>
  <c r="N27" i="1"/>
  <c r="O27" i="1"/>
  <c r="M17" i="1"/>
  <c r="N17" i="1"/>
  <c r="O17" i="1"/>
  <c r="M11" i="1"/>
  <c r="N11" i="1"/>
  <c r="O11" i="1"/>
  <c r="L54" i="1"/>
  <c r="L27" i="1"/>
  <c r="D54" i="1"/>
  <c r="F54" i="1"/>
  <c r="G54" i="1"/>
  <c r="F27" i="1"/>
  <c r="G27" i="1"/>
  <c r="D17" i="1"/>
  <c r="F17" i="1"/>
  <c r="F11" i="1"/>
  <c r="G11" i="1"/>
  <c r="L11" i="1"/>
  <c r="O64" i="1"/>
  <c r="O69" i="1"/>
  <c r="C69" i="1" s="1"/>
  <c r="O72" i="1"/>
  <c r="N64" i="1"/>
  <c r="M64" i="1"/>
  <c r="L64" i="1"/>
  <c r="K64" i="1"/>
  <c r="J64" i="1"/>
  <c r="I64" i="1"/>
  <c r="H64" i="1"/>
  <c r="G64" i="1"/>
  <c r="F64" i="1"/>
  <c r="E64" i="1"/>
  <c r="D64" i="1"/>
  <c r="C39" i="1"/>
  <c r="C88" i="1"/>
  <c r="C14" i="1"/>
  <c r="C15" i="1"/>
  <c r="C22" i="1"/>
  <c r="C23" i="1"/>
  <c r="C26" i="1"/>
  <c r="C35" i="1"/>
  <c r="C36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6" i="1"/>
  <c r="C58" i="1"/>
  <c r="C60" i="1"/>
  <c r="C61" i="1"/>
  <c r="C62" i="1"/>
  <c r="C63" i="1"/>
  <c r="C65" i="1"/>
  <c r="C66" i="1"/>
  <c r="C67" i="1"/>
  <c r="C68" i="1"/>
  <c r="C70" i="1"/>
  <c r="C71" i="1"/>
  <c r="C72" i="1"/>
  <c r="C73" i="1"/>
  <c r="C74" i="1"/>
  <c r="C75" i="1"/>
  <c r="C77" i="1"/>
  <c r="C78" i="1"/>
  <c r="C79" i="1"/>
  <c r="C80" i="1"/>
  <c r="C81" i="1"/>
  <c r="C82" i="1"/>
  <c r="C83" i="1"/>
  <c r="C84" i="1"/>
  <c r="C85" i="1"/>
  <c r="C86" i="1"/>
  <c r="C10" i="1"/>
  <c r="C64" i="1" l="1"/>
  <c r="O76" i="1"/>
  <c r="N76" i="1"/>
  <c r="M76" i="1"/>
  <c r="M89" i="1" s="1"/>
  <c r="C38" i="1"/>
  <c r="G76" i="1"/>
  <c r="G89" i="1" s="1"/>
  <c r="L76" i="1"/>
  <c r="F76" i="1"/>
  <c r="F89" i="1" s="1"/>
  <c r="M8" i="1"/>
  <c r="K11" i="1"/>
  <c r="L89" i="1" l="1"/>
  <c r="K54" i="1" l="1"/>
  <c r="K27" i="1"/>
  <c r="K17" i="1" l="1"/>
  <c r="K76" i="1" s="1"/>
  <c r="K89" i="1" s="1"/>
  <c r="C18" i="1"/>
  <c r="J27" i="1" l="1"/>
  <c r="J17" i="1" l="1"/>
  <c r="J54" i="1"/>
  <c r="C55" i="1"/>
  <c r="J11" i="1"/>
  <c r="J76" i="1" l="1"/>
  <c r="J89" i="1" s="1"/>
  <c r="C57" i="1" l="1"/>
  <c r="I11" i="1"/>
  <c r="C11" i="1" s="1"/>
  <c r="I54" i="1" l="1"/>
  <c r="C33" i="1" l="1"/>
  <c r="C30" i="1"/>
  <c r="I17" i="1" l="1"/>
  <c r="I27" i="1"/>
  <c r="I76" i="1" l="1"/>
  <c r="I89" i="1" s="1"/>
  <c r="E17" i="1"/>
  <c r="H27" i="1"/>
  <c r="H11" i="1"/>
  <c r="H17" i="1"/>
  <c r="H54" i="1"/>
  <c r="C31" i="1"/>
  <c r="E54" i="1"/>
  <c r="C34" i="1"/>
  <c r="C32" i="1"/>
  <c r="C59" i="1" l="1"/>
  <c r="C17" i="1"/>
  <c r="H76" i="1"/>
  <c r="H89" i="1" s="1"/>
  <c r="C54" i="1"/>
  <c r="C29" i="1"/>
  <c r="C13" i="1"/>
  <c r="E27" i="1" l="1"/>
  <c r="E76" i="1" s="1"/>
  <c r="E89" i="1" s="1"/>
  <c r="C28" i="1"/>
  <c r="C16" i="1" l="1"/>
  <c r="D11" i="1" l="1"/>
  <c r="C12" i="1"/>
  <c r="D27" i="1"/>
  <c r="C37" i="1"/>
  <c r="O87" i="1"/>
  <c r="N87" i="1"/>
  <c r="C87" i="1" l="1"/>
  <c r="N89" i="1"/>
  <c r="D76" i="1"/>
  <c r="D89" i="1" s="1"/>
  <c r="C89" i="1" s="1"/>
  <c r="C27" i="1"/>
  <c r="O89" i="1"/>
  <c r="C76" i="1" l="1"/>
  <c r="K97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<sst xmlns="http://schemas.openxmlformats.org/spreadsheetml/2006/main" count="113" uniqueCount="109">
  <si>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</si>
  <si>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</si>
  <si>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</si>
  <si>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</si>
  <si>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</si>
  <si>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</si>
  <si>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</si>
  <si>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</si>
  <si>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</si>
  <si>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</si>
  <si>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</si>
  <si>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</si>
  <si>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</si>
  <si>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</si>
  <si>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</si>
  <si>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</si>
  <si>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</si>
  <si>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</si>
  <si>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</si>
  <si>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</si>
  <si>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</si>
  <si>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</si>
  <si>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</si>
  <si>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</si>
  <si>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</si>
  <si>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</si>
  <si>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</si>
  <si>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</si>
  <si>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</si>
  <si>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</si>
  <si>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</si>
  <si>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</si>
  <si>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</si>
  <si>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</si>
  <si>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</si>
  <si>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</si>
  <si>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</si>
  <si>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</si>
  <si>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</si>
  <si>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</si>
  <si>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</si>
  <si>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</si>
  <si>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</si>
  <si>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</si>
  <si>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</si>
  <si>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</si>
  <si>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</si>
  <si>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</si>
  <si>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</si>
  <si>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</si>
  <si>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</si>
  <si>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</si>
  <si>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</si>
  <si>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</si>
  <si>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</si>
  <si>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</si>
  <si>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</si>
  <si>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</si>
  <si>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</si>
  <si>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</si>
  <si>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</si>
  <si>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</si>
  <si>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</si>
  <si>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</si>
  <si>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</si>
  <si>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</si>
  <si>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</si>
  <si>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</si>
  <si>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</si>
  <si>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</si>
  <si>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</si>
  <si>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</si>
  <si>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</si>
  <si>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</si>
  <si>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</si>
  <si>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</si>
  <si>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</si>
  <si>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</si>
  <si>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</si>
  <si>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</si>
  <si>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</si>
  <si>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</si>
  <si>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</si>
  <si>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</si>
  <si>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</si>
  <si>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</si>
  <si>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</si>
  <si>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</si>
  <si>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</si>
  <si>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</si>
  <si>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</si>
  <si>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</si>
  <si>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</si>
  <si>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</si>
  <si>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</si>
  <si>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</si>
  <si>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</si>
  <si>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</si>
  <si>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</si>
  <si>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</si>
  <si>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Licda. Lissete Hernández 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</si>
  <si>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</si>
  <si>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</si>
  <si>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</si>
  <si>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</si>
  <si>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</si>
  <si>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Licda. María Rojas</t>
  </si>
  <si>
    <t>2.3.7.9-Otros Productos Quimicos y Conexos</t>
  </si>
  <si>
    <t>Revisado por: Contadora General Interina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</si>
</sst>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2381250</xdr:colOff>
      <xdr:row>4</xdr:row>
      <xdr:rowOff>0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2381250" cy="952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1647263</xdr:colOff>
      <xdr:row>0</xdr:row>
      <xdr:rowOff>0</xdr:rowOff>
    </xdr:from>
    <xdr:to>
      <xdr:col>14</xdr:col>
      <xdr:colOff>941293</xdr:colOff>
      <xdr:row>5</xdr:row>
      <xdr:rowOff>88047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63881" y="0"/>
          <a:ext cx="3810000" cy="11974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O91" totalsRowCount="1" headerRowDxfId="26" dataDxfId="25" headerRowCellStyle="Millares" dataCellStyle="Millares">
  <autoFilter ref="B9:O90"/>
  <tableColumns count="14">
    <tableColumn id="1" name="Detalle"/>
    <tableColumn id="2" name="Total " dataDxfId="24" totalsRowDxfId="23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5"/>
  <sheetViews>
    <sheetView showGridLines="0" tabSelected="1" view="pageBreakPreview" topLeftCell="B79" zoomScale="85" zoomScaleNormal="85" zoomScaleSheetLayoutView="85" workbookViewId="0">
      <selection activeCell="B110" sqref="B11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3.28515625" bestFit="1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6.140625" style="3" bestFit="1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6" t="s">
        <v>103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2:15" ht="18" x14ac:dyDescent="0.25"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2:15" ht="18.75" customHeight="1" x14ac:dyDescent="0.25"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2:15" ht="18.75" customHeight="1" x14ac:dyDescent="0.25">
      <c r="B4" s="66" t="s">
        <v>105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2:15" ht="15" customHeight="1" x14ac:dyDescent="0.25">
      <c r="B5" s="67" t="s">
        <v>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2:15" ht="15" customHeight="1" x14ac:dyDescent="0.25">
      <c r="B6" s="68">
        <v>44408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2:15" x14ac:dyDescent="0.25">
      <c r="B7" s="67" t="s">
        <v>3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2:15" x14ac:dyDescent="0.25">
      <c r="B8" s="1"/>
      <c r="C8" s="1"/>
      <c r="D8" s="36"/>
      <c r="E8" s="36"/>
      <c r="F8" s="36"/>
      <c r="G8" s="36"/>
      <c r="H8" s="36"/>
      <c r="I8" s="36"/>
      <c r="J8" s="36"/>
      <c r="K8" s="36"/>
      <c r="L8" s="36"/>
      <c r="M8" s="36">
        <f>+L8-K16</f>
        <v>0</v>
      </c>
      <c r="N8" s="36"/>
      <c r="O8" s="36"/>
    </row>
    <row r="9" spans="2:15" ht="15.75" x14ac:dyDescent="0.25">
      <c r="B9" s="23" t="s">
        <v>4</v>
      </c>
      <c r="C9" s="24" t="s">
        <v>5</v>
      </c>
      <c r="D9" s="25" t="s">
        <v>6</v>
      </c>
      <c r="E9" s="25" t="s">
        <v>7</v>
      </c>
      <c r="F9" s="25" t="s">
        <v>8</v>
      </c>
      <c r="G9" s="25" t="s">
        <v>9</v>
      </c>
      <c r="H9" s="25" t="s">
        <v>102</v>
      </c>
      <c r="I9" s="25" t="s">
        <v>10</v>
      </c>
      <c r="J9" s="25" t="s">
        <v>11</v>
      </c>
      <c r="K9" s="25" t="s">
        <v>12</v>
      </c>
      <c r="L9" s="25" t="s">
        <v>13</v>
      </c>
      <c r="M9" s="25" t="s">
        <v>14</v>
      </c>
      <c r="N9" s="25" t="s">
        <v>15</v>
      </c>
      <c r="O9" s="25" t="s">
        <v>16</v>
      </c>
    </row>
    <row r="10" spans="2:15" x14ac:dyDescent="0.25">
      <c r="B10" s="40" t="s">
        <v>17</v>
      </c>
      <c r="C1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2:15" ht="27.75" customHeight="1" x14ac:dyDescent="0.25">
      <c r="B11" s="40" t="s">
        <v>18</v>
      </c>
      <c r="C1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298432299.77999997</v>
      </c>
      <c r="D11" s="42">
        <f t="shared" ref="D11:L11" si="0">+D12+D13+D16+D14+D15</f>
        <v>35355909.769999996</v>
      </c>
      <c r="E11" s="42">
        <f t="shared" si="0"/>
        <v>35189877.689999998</v>
      </c>
      <c r="F11" s="42">
        <f t="shared" si="0"/>
        <v>38278843.859999999</v>
      </c>
      <c r="G11" s="42">
        <f t="shared" si="0"/>
        <v>35550104</v>
      </c>
      <c r="H11" s="42">
        <f t="shared" si="0"/>
        <v>60769618.869999997</v>
      </c>
      <c r="I11" s="42">
        <f t="shared" si="0"/>
        <v>47795313.849999994</v>
      </c>
      <c r="J11" s="42">
        <f t="shared" si="0"/>
        <v>45492631.739999995</v>
      </c>
      <c r="K11" s="42">
        <f t="shared" si="0"/>
        <v>0</v>
      </c>
      <c r="L11" s="42">
        <f t="shared" si="0"/>
        <v>0</v>
      </c>
      <c r="M11" s="42">
        <f t="shared" ref="M11" si="1">+M12+M13+M16+M14+M15</f>
        <v>0</v>
      </c>
      <c r="N11" s="42">
        <f t="shared" ref="N11" si="2">+N12+N13+N16+N14+N15</f>
        <v>0</v>
      </c>
      <c r="O11" s="42">
        <f t="shared" ref="O11" si="3">+O12+O13+O16+O14+O15</f>
        <v>0</v>
      </c>
    </row>
    <row r="12" spans="2:15" x14ac:dyDescent="0.25">
      <c r="B12" s="43" t="s">
        <v>19</v>
      </c>
      <c r="C1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238380151.19</v>
      </c>
      <c r="D12" s="45">
        <v>30529855.359999999</v>
      </c>
      <c r="E12" s="45">
        <f>461754.34+29985361.02</f>
        <v>30447115.359999999</v>
      </c>
      <c r="F12" s="46">
        <f>30617335.73+559462.27+154000+1932669.11</f>
        <v>33263467.109999999</v>
      </c>
      <c r="G12" s="47">
        <f>30000828.06+805109.35</f>
        <v>30805937.41</v>
      </c>
      <c r="H12" s="47">
        <f>31742203.57+652088.33+370850+169885.8</f>
        <v>32935027.699999999</v>
      </c>
      <c r="I12" s="47">
        <f>39175351.82+1266273.83+229919.24</f>
        <v>40671544.890000001</v>
      </c>
      <c r="J12" s="47">
        <f>36110703.53+2537913.51+214500+864086.32</f>
        <v>39727203.359999999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</row>
    <row r="13" spans="2:15" x14ac:dyDescent="0.25">
      <c r="B13" s="43" t="s">
        <v>20</v>
      </c>
      <c r="C1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25179358.180000003</v>
      </c>
      <c r="D13" s="45">
        <f>75000+81000</f>
        <v>156000</v>
      </c>
      <c r="E13" s="45">
        <f>125000+31000</f>
        <v>156000</v>
      </c>
      <c r="F13" s="46">
        <f>51000+281666.67</f>
        <v>332666.67</v>
      </c>
      <c r="G13" s="47">
        <f>125000+31000</f>
        <v>156000</v>
      </c>
      <c r="H13" s="47">
        <f>22823247.85+125000+31000</f>
        <v>22979247.850000001</v>
      </c>
      <c r="I13" s="47">
        <f>1001979.69+125000</f>
        <v>1126979.69</v>
      </c>
      <c r="J13" s="47">
        <f>147463.97+125000</f>
        <v>272463.96999999997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</row>
    <row r="14" spans="2:15" x14ac:dyDescent="0.25">
      <c r="B14" s="43" t="s">
        <v>21</v>
      </c>
      <c r="C1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4" s="45">
        <v>0</v>
      </c>
      <c r="E14" s="45">
        <v>0</v>
      </c>
      <c r="F14" s="46"/>
      <c r="G14" s="47"/>
      <c r="H14" s="47">
        <v>0</v>
      </c>
      <c r="I14" s="47"/>
      <c r="J14" s="47"/>
      <c r="K14" s="47"/>
      <c r="L14" s="47"/>
      <c r="M14" s="47"/>
      <c r="N14" s="47"/>
      <c r="O14" s="47"/>
    </row>
    <row r="15" spans="2:15" x14ac:dyDescent="0.25">
      <c r="B15" s="43" t="s">
        <v>22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5" s="45">
        <v>0</v>
      </c>
      <c r="E15" s="45">
        <v>0</v>
      </c>
      <c r="F15" s="46"/>
      <c r="G15" s="47"/>
      <c r="H15" s="47">
        <v>0</v>
      </c>
      <c r="I15" s="47"/>
      <c r="J15" s="47"/>
      <c r="K15" s="47">
        <v>0</v>
      </c>
      <c r="L15" s="47"/>
      <c r="M15" s="47"/>
      <c r="N15" s="47"/>
      <c r="O15" s="47"/>
    </row>
    <row r="16" spans="2:15" x14ac:dyDescent="0.25">
      <c r="B16" s="43" t="s">
        <v>23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34872790.409999996</v>
      </c>
      <c r="D16" s="45">
        <f>2160300.69+2167620.69+342133.03</f>
        <v>4670054.41</v>
      </c>
      <c r="E16" s="45">
        <f>2121696.01+2128961.5+336104.82</f>
        <v>4586762.33</v>
      </c>
      <c r="F16" s="46">
        <f>2166503.03+2173831.69+342375.36</f>
        <v>4682710.08</v>
      </c>
      <c r="G16" s="47">
        <f>2122792.61+2130059.65+335314.33</f>
        <v>4588166.59</v>
      </c>
      <c r="H16" s="47">
        <f>2246256.19+2253697.31+355389.82</f>
        <v>4855343.32</v>
      </c>
      <c r="I16" s="47">
        <f>2773266.42+2781451.01+442071.84</f>
        <v>5996789.2699999996</v>
      </c>
      <c r="J16" s="47">
        <f>373121.94+2563860.41+2555982.06</f>
        <v>5492964.4100000001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</row>
    <row r="17" spans="2:15" ht="31.5" customHeight="1" x14ac:dyDescent="0.25">
      <c r="B17" s="40" t="s">
        <v>24</v>
      </c>
      <c r="C1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33685992.009999998</v>
      </c>
      <c r="D17" s="42">
        <f t="shared" ref="D17:O17" si="4">+D18+D19+D20+D21+D24+D25+D23+D22+D26</f>
        <v>4007345.32</v>
      </c>
      <c r="E17" s="42">
        <f t="shared" si="4"/>
        <v>2516632.65</v>
      </c>
      <c r="F17" s="42">
        <f t="shared" si="4"/>
        <v>7548127.5199999996</v>
      </c>
      <c r="G17" s="42">
        <f t="shared" si="4"/>
        <v>6068795.4800000004</v>
      </c>
      <c r="H17" s="42">
        <f t="shared" si="4"/>
        <v>5174138.08</v>
      </c>
      <c r="I17" s="42">
        <f t="shared" si="4"/>
        <v>4650658.96</v>
      </c>
      <c r="J17" s="42">
        <f t="shared" si="4"/>
        <v>3720294</v>
      </c>
      <c r="K17" s="42">
        <f t="shared" si="4"/>
        <v>0</v>
      </c>
      <c r="L17" s="42">
        <f t="shared" si="4"/>
        <v>0</v>
      </c>
      <c r="M17" s="42">
        <f t="shared" si="4"/>
        <v>0</v>
      </c>
      <c r="N17" s="42">
        <f t="shared" si="4"/>
        <v>0</v>
      </c>
      <c r="O17" s="42">
        <f t="shared" si="4"/>
        <v>0</v>
      </c>
    </row>
    <row r="18" spans="2:15" x14ac:dyDescent="0.25">
      <c r="B18" s="43" t="s">
        <v>25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3290734.8099999996</v>
      </c>
      <c r="D18" s="45">
        <v>0</v>
      </c>
      <c r="E18" s="45">
        <f>691689.49+137515.04</f>
        <v>829204.53</v>
      </c>
      <c r="F18" s="45">
        <v>79800</v>
      </c>
      <c r="G18" s="45">
        <v>895863.04</v>
      </c>
      <c r="H18" s="45">
        <f>682620.08+206272.56</f>
        <v>888892.6399999999</v>
      </c>
      <c r="I18" s="45">
        <f>68757.52+226027.03</f>
        <v>294784.55</v>
      </c>
      <c r="J18" s="45">
        <f>233432.53+68757.52</f>
        <v>302190.05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</row>
    <row r="19" spans="2:15" x14ac:dyDescent="0.25">
      <c r="B19" s="43" t="s">
        <v>26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1948600.49</v>
      </c>
      <c r="D19" s="45">
        <v>340896.58</v>
      </c>
      <c r="E19" s="45">
        <v>62304</v>
      </c>
      <c r="F19" s="45">
        <f>520543.2+650180</f>
        <v>1170723.2</v>
      </c>
      <c r="G19" s="45">
        <v>67671.23</v>
      </c>
      <c r="H19" s="45">
        <v>66080</v>
      </c>
      <c r="I19" s="45">
        <v>222925.48</v>
      </c>
      <c r="J19" s="45">
        <v>18000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</row>
    <row r="20" spans="2:15" x14ac:dyDescent="0.25">
      <c r="B20" s="43" t="s">
        <v>27</v>
      </c>
      <c r="C2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0" s="45">
        <v>24000</v>
      </c>
      <c r="E20" s="45">
        <v>96698.52</v>
      </c>
      <c r="F20" s="45">
        <v>18000</v>
      </c>
      <c r="G20" s="45">
        <v>9000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</row>
    <row r="21" spans="2:15" ht="18" customHeight="1" x14ac:dyDescent="0.25">
      <c r="B21" s="43" t="s">
        <v>28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215035.47999999998</v>
      </c>
      <c r="D21" s="45">
        <v>17264.45</v>
      </c>
      <c r="E21" s="45">
        <v>0</v>
      </c>
      <c r="F21" s="45">
        <f>8447.56+41814.45</f>
        <v>50262.009999999995</v>
      </c>
      <c r="G21" s="45">
        <v>17700</v>
      </c>
      <c r="H21" s="45">
        <v>0</v>
      </c>
      <c r="I21" s="45">
        <v>8680</v>
      </c>
      <c r="J21" s="45">
        <v>121129.02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</row>
    <row r="22" spans="2:15" x14ac:dyDescent="0.25">
      <c r="B22" s="43" t="s">
        <v>29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289690</v>
      </c>
      <c r="D22" s="45">
        <v>0</v>
      </c>
      <c r="E22" s="45">
        <v>0</v>
      </c>
      <c r="F22" s="45">
        <v>289690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</row>
    <row r="23" spans="2:15" x14ac:dyDescent="0.25">
      <c r="B23" s="43" t="s">
        <v>30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30" x14ac:dyDescent="0.25">
      <c r="B24" s="43" t="s">
        <v>31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13556758.800000001</v>
      </c>
      <c r="D24" s="45">
        <v>2525.65</v>
      </c>
      <c r="E24" s="45">
        <f>503765.6+99120+76110+99120</f>
        <v>778115.6</v>
      </c>
      <c r="F24" s="45">
        <f>1646605.76+31860+88800+107199.76+1028436.85+291035.65+454001.23</f>
        <v>3647939.25</v>
      </c>
      <c r="G24" s="45">
        <f>1187353.32+99120+250124.56+133309.76</f>
        <v>1669907.6400000001</v>
      </c>
      <c r="H24" s="45">
        <f>1477092.54+25811.32+27220.94+2585790.64</f>
        <v>4115915.4400000004</v>
      </c>
      <c r="I24" s="45">
        <f>339219.73+435007.18+29500+1377871.88+30626.9+103840+4130</f>
        <v>2320195.69</v>
      </c>
      <c r="J24" s="45">
        <f>2112.2+153712.7-29500+895834.63</f>
        <v>1022159.53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</row>
    <row r="25" spans="2:15" ht="30" x14ac:dyDescent="0.25">
      <c r="B25" s="43" t="s">
        <v>32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13937473.91</v>
      </c>
      <c r="D25" s="45">
        <f>2028559.75+503400+1090698.89</f>
        <v>3622658.6399999997</v>
      </c>
      <c r="E25" s="45">
        <f>12980+437330</f>
        <v>450310</v>
      </c>
      <c r="F25" s="45">
        <f>5814.87+790091.36+781518.09+10260+704028.74</f>
        <v>2291713.0599999996</v>
      </c>
      <c r="G25" s="45">
        <f>25700.33+1472481.37+17100+72865+1820506.87</f>
        <v>3408653.5700000003</v>
      </c>
      <c r="H25" s="45">
        <f>44250+59000</f>
        <v>103250</v>
      </c>
      <c r="I25" s="45">
        <f>541938.24+10000+7185+1244950</f>
        <v>1804073.24</v>
      </c>
      <c r="J25" s="45">
        <f>812520.89+48875.6+142800+1252618.91</f>
        <v>2256815.4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</row>
    <row r="26" spans="2:15" x14ac:dyDescent="0.25">
      <c r="B26" s="43" t="s">
        <v>33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6" s="45">
        <v>0</v>
      </c>
      <c r="E26" s="45">
        <v>300000</v>
      </c>
      <c r="F26" s="45">
        <v>0</v>
      </c>
      <c r="G26" s="45">
        <v>0</v>
      </c>
      <c r="H26" s="45"/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x14ac:dyDescent="0.25">
      <c r="B27" s="40" t="s">
        <v>34</v>
      </c>
      <c r="C2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176481849.94</v>
      </c>
      <c r="D27" s="42">
        <f t="shared" ref="D27:K27" si="5">+D28+D29+D30+D31+D32+D33+D34+D35+D36+D37</f>
        <v>135649.54999999999</v>
      </c>
      <c r="E27" s="42">
        <f t="shared" si="5"/>
        <v>28819592.449999999</v>
      </c>
      <c r="F27" s="42">
        <f t="shared" si="5"/>
        <v>45620735.799999997</v>
      </c>
      <c r="G27" s="42">
        <f t="shared" si="5"/>
        <v>27621679.809999999</v>
      </c>
      <c r="H27" s="42">
        <f t="shared" si="5"/>
        <v>21883931.559999999</v>
      </c>
      <c r="I27" s="42">
        <f t="shared" si="5"/>
        <v>29459566.440000001</v>
      </c>
      <c r="J27" s="42">
        <f t="shared" si="5"/>
        <v>22940694.329999998</v>
      </c>
      <c r="K27" s="42">
        <f t="shared" si="5"/>
        <v>0</v>
      </c>
      <c r="L27" s="42">
        <f>+L28+L29+L30+L31+L32+L33+L34+L35+L36+L37</f>
        <v>0</v>
      </c>
      <c r="M27" s="42">
        <f t="shared" ref="M27:O27" si="6">+M28+M29+M30+M31+M32+M33+M34+M35+M36+M37</f>
        <v>0</v>
      </c>
      <c r="N27" s="42">
        <f t="shared" si="6"/>
        <v>0</v>
      </c>
      <c r="O27" s="42">
        <f t="shared" si="6"/>
        <v>0</v>
      </c>
    </row>
    <row r="28" spans="2:15" x14ac:dyDescent="0.25">
      <c r="B28" s="43" t="s">
        <v>35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7974826.2400000002</v>
      </c>
      <c r="D28" s="45">
        <v>1375.01</v>
      </c>
      <c r="E28" s="45">
        <v>1325219.71</v>
      </c>
      <c r="F28" s="45">
        <v>1232865.5900000001</v>
      </c>
      <c r="G28" s="45">
        <v>1158080.3500000001</v>
      </c>
      <c r="H28" s="45">
        <v>243441.53</v>
      </c>
      <c r="I28" s="45">
        <v>2633290.7799999998</v>
      </c>
      <c r="J28" s="45">
        <v>1380553.27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</row>
    <row r="29" spans="2:15" x14ac:dyDescent="0.25">
      <c r="B29" s="43" t="s">
        <v>36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214555.6</v>
      </c>
      <c r="D29" s="45">
        <f>4261.9+1770</f>
        <v>6031.9</v>
      </c>
      <c r="E29" s="45">
        <v>0</v>
      </c>
      <c r="F29" s="45">
        <f>112100+91509</f>
        <v>203609</v>
      </c>
      <c r="G29" s="45">
        <v>4914.7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3" t="s">
        <v>37</v>
      </c>
      <c r="C3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2988940.0400000005</v>
      </c>
      <c r="D30" s="45">
        <v>0</v>
      </c>
      <c r="E30" s="45">
        <f>6200+296888</f>
        <v>303088</v>
      </c>
      <c r="F30" s="45">
        <f>120063.23+463740+585516</f>
        <v>1169319.23</v>
      </c>
      <c r="G30" s="45">
        <v>53779.68</v>
      </c>
      <c r="H30" s="45">
        <f>32499.86+749266.79+153305.6</f>
        <v>935072.25</v>
      </c>
      <c r="I30" s="45">
        <v>149940.24</v>
      </c>
      <c r="J30" s="45">
        <f>347486.4+22854.24+7400</f>
        <v>377740.64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</row>
    <row r="31" spans="2:15" x14ac:dyDescent="0.25">
      <c r="B31" s="43" t="s">
        <v>38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101772515.56999999</v>
      </c>
      <c r="D31" s="45">
        <v>64184.65</v>
      </c>
      <c r="E31" s="45">
        <v>21710117.620000001</v>
      </c>
      <c r="F31" s="45">
        <v>26251715.449999999</v>
      </c>
      <c r="G31" s="45">
        <v>14479908.26</v>
      </c>
      <c r="H31" s="45">
        <v>15975562.199999999</v>
      </c>
      <c r="I31" s="45">
        <v>13744806.48</v>
      </c>
      <c r="J31" s="45">
        <v>9546220.9100000001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</row>
    <row r="32" spans="2:15" ht="33" customHeight="1" x14ac:dyDescent="0.25">
      <c r="B32" s="43" t="s">
        <v>39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2564856.5699999998</v>
      </c>
      <c r="D32" s="45">
        <f>3475.1+4885.66+776.93</f>
        <v>9137.69</v>
      </c>
      <c r="E32" s="45">
        <v>158857</v>
      </c>
      <c r="F32" s="45">
        <f>2790+722240.01</f>
        <v>725030.01</v>
      </c>
      <c r="G32" s="45"/>
      <c r="H32" s="45">
        <v>207975</v>
      </c>
      <c r="I32" s="45">
        <f>130518.59+692798.45</f>
        <v>823317.03999999992</v>
      </c>
      <c r="J32" s="45">
        <v>640539.82999999996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</row>
    <row r="33" spans="2:15" ht="30" x14ac:dyDescent="0.25">
      <c r="B33" s="43" t="s">
        <v>40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560161.46</v>
      </c>
      <c r="D33" s="45">
        <f>3510+270+10302.21</f>
        <v>14082.21</v>
      </c>
      <c r="E33" s="45">
        <f>47563.33+10649</f>
        <v>58212.33</v>
      </c>
      <c r="F33" s="45">
        <f>175624.2+1560</f>
        <v>177184.2</v>
      </c>
      <c r="G33" s="45">
        <v>277033.32</v>
      </c>
      <c r="H33" s="45">
        <v>0</v>
      </c>
      <c r="I33" s="45">
        <f>2405+7310.46</f>
        <v>9715.4599999999991</v>
      </c>
      <c r="J33" s="45">
        <v>23933.94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</row>
    <row r="34" spans="2:15" ht="30" x14ac:dyDescent="0.25">
      <c r="B34" s="43" t="s">
        <v>41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27048408.800000004</v>
      </c>
      <c r="D34" s="45">
        <f>3000+3030</f>
        <v>6030</v>
      </c>
      <c r="E34" s="45">
        <f>1652237.3+73416.27+396700</f>
        <v>2122353.5700000003</v>
      </c>
      <c r="F34" s="45">
        <f>10248115.98+78776.02+1681416.78</f>
        <v>12008308.779999999</v>
      </c>
      <c r="G34" s="45">
        <v>2384979.98</v>
      </c>
      <c r="H34" s="45">
        <v>0</v>
      </c>
      <c r="I34" s="45">
        <f>524600+4999825.88+1735575.1</f>
        <v>7260000.9800000004</v>
      </c>
      <c r="J34" s="45">
        <f>810258.89+2456476.6</f>
        <v>3266735.49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</row>
    <row r="35" spans="2:15" x14ac:dyDescent="0.25">
      <c r="B35" s="43" t="s">
        <v>107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3647463.27</v>
      </c>
      <c r="D35" s="45">
        <v>0</v>
      </c>
      <c r="E35" s="45">
        <v>0</v>
      </c>
      <c r="F35" s="45">
        <v>0</v>
      </c>
      <c r="G35" s="45">
        <v>2810277.66</v>
      </c>
      <c r="H35" s="45">
        <v>837185.61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</row>
    <row r="36" spans="2:15" ht="30" x14ac:dyDescent="0.25">
      <c r="B36" s="43" t="s">
        <v>42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6" s="45">
        <v>0</v>
      </c>
      <c r="E36" s="45">
        <v>0</v>
      </c>
      <c r="F36" s="45">
        <v>0</v>
      </c>
      <c r="G36" s="45">
        <v>6452705.8600000003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</row>
    <row r="37" spans="2:15" x14ac:dyDescent="0.25">
      <c r="B37" s="43" t="s">
        <v>43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23257416.530000001</v>
      </c>
      <c r="D37" s="45">
        <f>5000+325+12098.33+6816.02+8808.74+1760</f>
        <v>34808.090000000004</v>
      </c>
      <c r="E37" s="45">
        <f>647277.2+2051756.26+157606.11+285104.65</f>
        <v>3141744.2199999997</v>
      </c>
      <c r="F37" s="45">
        <f>79340.84+195376.17+24514.56+2160403.66+100897.69+1292170.62</f>
        <v>3852703.54</v>
      </c>
      <c r="G37" s="45"/>
      <c r="H37" s="45">
        <f>56699.1+134307.6+2704349.04+931375.83-142036.6</f>
        <v>3684694.97</v>
      </c>
      <c r="I37" s="45">
        <f>416428.09+734843.71+3616157.96+63967.67+7098.03</f>
        <v>4838495.46</v>
      </c>
      <c r="J37" s="45">
        <f>1523516.1+50510.96+5895627.59+190092.1+45223.5</f>
        <v>7704970.25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</row>
    <row r="38" spans="2:15" s="35" customFormat="1" x14ac:dyDescent="0.25">
      <c r="B38" s="40" t="s">
        <v>44</v>
      </c>
      <c r="C3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</row>
    <row r="39" spans="2:15" x14ac:dyDescent="0.25">
      <c r="B39" s="43" t="s">
        <v>45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ht="30" x14ac:dyDescent="0.25">
      <c r="B40" s="43" t="s">
        <v>46</v>
      </c>
      <c r="C4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</row>
    <row r="41" spans="2:15" ht="30" x14ac:dyDescent="0.25">
      <c r="B41" s="43" t="s">
        <v>47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</row>
    <row r="42" spans="2:15" ht="30" x14ac:dyDescent="0.25">
      <c r="B42" s="43" t="s">
        <v>48</v>
      </c>
      <c r="C4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</row>
    <row r="43" spans="2:15" ht="30" x14ac:dyDescent="0.25">
      <c r="B43" s="43" t="s">
        <v>49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x14ac:dyDescent="0.25">
      <c r="B44" s="43" t="s">
        <v>50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51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s="34" customFormat="1" ht="33.75" customHeight="1" x14ac:dyDescent="0.25">
      <c r="B46" s="48" t="s">
        <v>52</v>
      </c>
      <c r="C4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53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54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ht="30" x14ac:dyDescent="0.25">
      <c r="B49" s="43" t="s">
        <v>55</v>
      </c>
      <c r="C4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ht="30" x14ac:dyDescent="0.25">
      <c r="B50" s="43" t="s">
        <v>56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57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x14ac:dyDescent="0.25">
      <c r="B52" s="43" t="s">
        <v>58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59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x14ac:dyDescent="0.25">
      <c r="B54" s="40" t="s">
        <v>60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38636024.369999997</v>
      </c>
      <c r="D54" s="42">
        <f t="shared" ref="D54:K54" si="7">+D55+D56+D57+D58+D59+D60+D61+D62</f>
        <v>0</v>
      </c>
      <c r="E54" s="42">
        <f t="shared" si="7"/>
        <v>19049967.879999999</v>
      </c>
      <c r="F54" s="42">
        <f t="shared" si="7"/>
        <v>3029603.85</v>
      </c>
      <c r="G54" s="42">
        <f t="shared" si="7"/>
        <v>2784801.89</v>
      </c>
      <c r="H54" s="42">
        <f t="shared" si="7"/>
        <v>4600117.09</v>
      </c>
      <c r="I54" s="42">
        <f t="shared" si="7"/>
        <v>9104429.8699999992</v>
      </c>
      <c r="J54" s="42">
        <f t="shared" si="7"/>
        <v>67103.790000000008</v>
      </c>
      <c r="K54" s="42">
        <f t="shared" si="7"/>
        <v>0</v>
      </c>
      <c r="L54" s="42">
        <f>+L55+L56+L57+L58+L59+L60+L61+L62</f>
        <v>0</v>
      </c>
      <c r="M54" s="42">
        <f t="shared" ref="M54:O54" si="8">+M55+M56+M57+M58+M59+M60+M61+M62</f>
        <v>0</v>
      </c>
      <c r="N54" s="42">
        <f t="shared" si="8"/>
        <v>0</v>
      </c>
      <c r="O54" s="42">
        <f t="shared" si="8"/>
        <v>0</v>
      </c>
    </row>
    <row r="55" spans="2:15" x14ac:dyDescent="0.25">
      <c r="B55" s="43" t="s">
        <v>61</v>
      </c>
      <c r="C5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2230505.98</v>
      </c>
      <c r="D55" s="45">
        <v>0</v>
      </c>
      <c r="E55" s="45">
        <f>10502+39161.25+63464.24</f>
        <v>113127.48999999999</v>
      </c>
      <c r="F55" s="45">
        <f>3163.44+107564.79</f>
        <v>110728.23</v>
      </c>
      <c r="G55" s="45">
        <f>41245.52+224125+51920+67260</f>
        <v>384550.52</v>
      </c>
      <c r="H55" s="45">
        <v>1012736.51</v>
      </c>
      <c r="I55" s="45">
        <f>5646.3+249657.34+315130.8</f>
        <v>570434.43999999994</v>
      </c>
      <c r="J55" s="45">
        <v>38928.79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x14ac:dyDescent="0.25">
      <c r="B56" s="43" t="s">
        <v>62</v>
      </c>
      <c r="C5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6" s="45">
        <v>0</v>
      </c>
      <c r="E56" s="45">
        <v>0</v>
      </c>
      <c r="F56" s="45">
        <v>0</v>
      </c>
      <c r="G56" s="45"/>
      <c r="H56" s="45">
        <v>0</v>
      </c>
      <c r="I56" s="45">
        <v>50699.88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ht="30" x14ac:dyDescent="0.25">
      <c r="B57" s="43" t="s">
        <v>63</v>
      </c>
      <c r="C5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21372004.309999999</v>
      </c>
      <c r="D57" s="45">
        <v>0</v>
      </c>
      <c r="E57" s="45">
        <v>6028714.7999999998</v>
      </c>
      <c r="F57" s="45">
        <f>34208.2+1849877.68</f>
        <v>1884085.88</v>
      </c>
      <c r="G57" s="45">
        <v>1507178.7</v>
      </c>
      <c r="H57" s="45">
        <v>3563556.38</v>
      </c>
      <c r="I57" s="45">
        <v>8360293.5499999998</v>
      </c>
      <c r="J57" s="45">
        <v>28175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</row>
    <row r="58" spans="2:15" ht="30" x14ac:dyDescent="0.25">
      <c r="B58" s="43" t="s">
        <v>64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</row>
    <row r="59" spans="2:15" x14ac:dyDescent="0.25">
      <c r="B59" s="43" t="s">
        <v>65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13822374.039999999</v>
      </c>
      <c r="D59" s="45">
        <v>0</v>
      </c>
      <c r="E59" s="45">
        <v>12715547.84</v>
      </c>
      <c r="F59" s="45">
        <v>960000</v>
      </c>
      <c r="G59" s="45">
        <v>0</v>
      </c>
      <c r="H59" s="45">
        <v>23824.2</v>
      </c>
      <c r="I59" s="45">
        <v>123002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x14ac:dyDescent="0.25">
      <c r="B60" s="43" t="s">
        <v>66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0" s="45">
        <v>0</v>
      </c>
      <c r="E60" s="45">
        <v>0</v>
      </c>
      <c r="F60" s="45">
        <v>74789.740000000005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</row>
    <row r="61" spans="2:15" x14ac:dyDescent="0.25">
      <c r="B61" s="43" t="s">
        <v>67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1" s="45">
        <v>0</v>
      </c>
      <c r="E61" s="45">
        <v>0</v>
      </c>
      <c r="F61" s="45">
        <v>0</v>
      </c>
      <c r="G61" s="45"/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</row>
    <row r="62" spans="2:15" x14ac:dyDescent="0.25">
      <c r="B62" s="43" t="s">
        <v>68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2" s="45">
        <v>0</v>
      </c>
      <c r="E62" s="45">
        <f>75171.01+12086.74+105320</f>
        <v>192577.75</v>
      </c>
      <c r="F62" s="45">
        <v>0</v>
      </c>
      <c r="G62" s="45">
        <v>893072.67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</row>
    <row r="63" spans="2:15" ht="30" x14ac:dyDescent="0.25">
      <c r="B63" s="43" t="s">
        <v>69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0" t="s">
        <v>70</v>
      </c>
      <c r="C6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4" s="45">
        <f>+D65+D66+D67+D68</f>
        <v>0</v>
      </c>
      <c r="E64" s="45">
        <f t="shared" ref="E64:N64" si="9">+E65+E66+E67+E68</f>
        <v>0</v>
      </c>
      <c r="F64" s="45">
        <f t="shared" si="9"/>
        <v>0</v>
      </c>
      <c r="G64" s="45">
        <f t="shared" si="9"/>
        <v>0</v>
      </c>
      <c r="H64" s="45">
        <f t="shared" si="9"/>
        <v>0</v>
      </c>
      <c r="I64" s="45">
        <f t="shared" si="9"/>
        <v>39233.599999999999</v>
      </c>
      <c r="J64" s="45">
        <f t="shared" si="9"/>
        <v>0</v>
      </c>
      <c r="K64" s="45">
        <f t="shared" si="9"/>
        <v>0</v>
      </c>
      <c r="L64" s="45">
        <f t="shared" si="9"/>
        <v>0</v>
      </c>
      <c r="M64" s="45">
        <f t="shared" si="9"/>
        <v>0</v>
      </c>
      <c r="N64" s="45">
        <f t="shared" si="9"/>
        <v>0</v>
      </c>
      <c r="O64" s="45">
        <f>+O65+O66+O67+O68</f>
        <v>0</v>
      </c>
    </row>
    <row r="65" spans="2:15" x14ac:dyDescent="0.25">
      <c r="B65" s="43" t="s">
        <v>71</v>
      </c>
      <c r="C6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x14ac:dyDescent="0.25">
      <c r="B66" s="43" t="s">
        <v>72</v>
      </c>
      <c r="C6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39233.599999999999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3" t="s">
        <v>73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</row>
    <row r="68" spans="2:15" ht="30" x14ac:dyDescent="0.25">
      <c r="B68" s="43" t="s">
        <v>74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ht="30" x14ac:dyDescent="0.25">
      <c r="B69" s="40" t="s">
        <v>75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9" s="49"/>
      <c r="E69" s="49">
        <v>0</v>
      </c>
      <c r="F69" s="46"/>
      <c r="G69" s="47"/>
      <c r="H69" s="47">
        <v>0</v>
      </c>
      <c r="I69" s="47"/>
      <c r="J69" s="47">
        <v>0</v>
      </c>
      <c r="K69" s="47">
        <v>0</v>
      </c>
      <c r="L69" s="47"/>
      <c r="M69" s="47"/>
      <c r="N69" s="47">
        <v>0</v>
      </c>
      <c r="O69" s="47">
        <f>+O70+O71</f>
        <v>0</v>
      </c>
    </row>
    <row r="70" spans="2:15" x14ac:dyDescent="0.25">
      <c r="B70" s="43" t="s">
        <v>76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77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x14ac:dyDescent="0.25">
      <c r="B72" s="40" t="s">
        <v>78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/>
      <c r="L72" s="47"/>
      <c r="M72" s="47"/>
      <c r="N72" s="47">
        <v>0</v>
      </c>
      <c r="O72" s="47">
        <f>+O73+O74+O75</f>
        <v>0</v>
      </c>
    </row>
    <row r="73" spans="2:15" x14ac:dyDescent="0.25">
      <c r="B73" s="43" t="s">
        <v>79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x14ac:dyDescent="0.25">
      <c r="B74" s="43" t="s">
        <v>80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ht="30" x14ac:dyDescent="0.25">
      <c r="B75" s="43" t="s">
        <v>81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</row>
    <row r="76" spans="2:15" x14ac:dyDescent="0.25">
      <c r="B76" s="50" t="s">
        <v>82</v>
      </c>
      <c r="C76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547275399.70000005</v>
      </c>
      <c r="D76" s="51">
        <f t="shared" ref="D76:O76" si="10">+D72+D69+D64+D54+D46+D38+D27+D17+D11</f>
        <v>39498904.639999993</v>
      </c>
      <c r="E76" s="51">
        <f t="shared" si="10"/>
        <v>85576070.669999987</v>
      </c>
      <c r="F76" s="51">
        <f t="shared" si="10"/>
        <v>94477311.030000001</v>
      </c>
      <c r="G76" s="51">
        <f t="shared" si="10"/>
        <v>72025381.180000007</v>
      </c>
      <c r="H76" s="51">
        <f t="shared" si="10"/>
        <v>92427805.599999994</v>
      </c>
      <c r="I76" s="51">
        <f t="shared" si="10"/>
        <v>91049202.719999999</v>
      </c>
      <c r="J76" s="51">
        <f t="shared" si="10"/>
        <v>72220723.859999985</v>
      </c>
      <c r="K76" s="51">
        <f t="shared" si="10"/>
        <v>0</v>
      </c>
      <c r="L76" s="51">
        <f t="shared" si="10"/>
        <v>0</v>
      </c>
      <c r="M76" s="51">
        <f t="shared" si="10"/>
        <v>0</v>
      </c>
      <c r="N76" s="51">
        <f t="shared" si="10"/>
        <v>0</v>
      </c>
      <c r="O76" s="51">
        <f t="shared" si="10"/>
        <v>0</v>
      </c>
    </row>
    <row r="77" spans="2:15" x14ac:dyDescent="0.25">
      <c r="B77" s="52"/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/>
      <c r="E77" s="46"/>
      <c r="F77" s="46"/>
      <c r="G77" s="47"/>
      <c r="H77" s="47"/>
      <c r="I77" s="47"/>
      <c r="J77" s="47"/>
      <c r="K77" s="47"/>
      <c r="L77" s="47"/>
      <c r="M77" s="47"/>
      <c r="N77" s="47"/>
      <c r="O77" s="47"/>
    </row>
    <row r="78" spans="2:15" x14ac:dyDescent="0.25">
      <c r="B78" s="40" t="s">
        <v>83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</row>
    <row r="79" spans="2:15" x14ac:dyDescent="0.25">
      <c r="B79" s="40" t="s">
        <v>84</v>
      </c>
      <c r="C7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9" s="49"/>
      <c r="E79" s="46"/>
      <c r="F79" s="46"/>
      <c r="G79" s="47"/>
      <c r="H79" s="47"/>
      <c r="I79" s="47"/>
      <c r="J79" s="47"/>
      <c r="K79" s="47"/>
      <c r="L79" s="47"/>
      <c r="M79" s="47"/>
      <c r="N79" s="47"/>
      <c r="O79" s="47"/>
    </row>
    <row r="80" spans="2:15" ht="30" x14ac:dyDescent="0.25">
      <c r="B80" s="43" t="s">
        <v>85</v>
      </c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</row>
    <row r="81" spans="2:15" ht="30" x14ac:dyDescent="0.25">
      <c r="B81" s="43" t="s">
        <v>86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</row>
    <row r="82" spans="2:15" x14ac:dyDescent="0.25">
      <c r="B82" s="40" t="s">
        <v>87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x14ac:dyDescent="0.25">
      <c r="B83" s="43" t="s">
        <v>88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x14ac:dyDescent="0.25">
      <c r="B84" s="43" t="s">
        <v>89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90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91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50" t="s">
        <v>92</v>
      </c>
      <c r="C8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f t="shared" ref="N87:O87" si="11">SUM(N80:N86)</f>
        <v>0</v>
      </c>
      <c r="O87" s="51">
        <f t="shared" si="11"/>
        <v>0</v>
      </c>
    </row>
    <row r="88" spans="2:15" s="29" customFormat="1" x14ac:dyDescent="0.25">
      <c r="B88" s="26"/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37"/>
      <c r="E88" s="37"/>
      <c r="F88" s="27"/>
      <c r="G88" s="27"/>
      <c r="H88" s="28"/>
      <c r="I88" s="28"/>
      <c r="J88" s="28"/>
      <c r="K88" s="28"/>
      <c r="L88" s="28"/>
      <c r="M88" s="28"/>
      <c r="N88" s="28"/>
      <c r="O88" s="28"/>
    </row>
    <row r="89" spans="2:15" ht="15.75" x14ac:dyDescent="0.25">
      <c r="B89" s="4" t="s">
        <v>93</v>
      </c>
      <c r="C89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547275399.70000005</v>
      </c>
      <c r="D89" s="38">
        <f>D76+D87</f>
        <v>39498904.639999993</v>
      </c>
      <c r="E89" s="38">
        <f t="shared" ref="E89:N89" si="12">E76+E87</f>
        <v>85576070.669999987</v>
      </c>
      <c r="F89" s="38">
        <f t="shared" si="12"/>
        <v>94477311.030000001</v>
      </c>
      <c r="G89" s="38">
        <f t="shared" si="12"/>
        <v>72025381.180000007</v>
      </c>
      <c r="H89" s="38">
        <f t="shared" si="12"/>
        <v>92427805.599999994</v>
      </c>
      <c r="I89" s="38">
        <f t="shared" si="12"/>
        <v>91049202.719999999</v>
      </c>
      <c r="J89" s="38">
        <f t="shared" si="12"/>
        <v>72220723.859999985</v>
      </c>
      <c r="K89" s="38">
        <f t="shared" si="12"/>
        <v>0</v>
      </c>
      <c r="L89" s="38">
        <f t="shared" si="12"/>
        <v>0</v>
      </c>
      <c r="M89" s="38">
        <f t="shared" si="12"/>
        <v>0</v>
      </c>
      <c r="N89" s="38">
        <f t="shared" si="12"/>
        <v>0</v>
      </c>
      <c r="O89" s="38">
        <f>O76+O87</f>
        <v>0</v>
      </c>
    </row>
    <row r="90" spans="2:15" s="2" customFormat="1" x14ac:dyDescent="0.25">
      <c r="E90" s="21"/>
      <c r="F90" s="21"/>
      <c r="G90" s="22"/>
      <c r="H90" s="22"/>
      <c r="I90" s="22"/>
      <c r="J90" s="22"/>
      <c r="K90" s="22"/>
      <c r="L90" s="22"/>
      <c r="M90" s="22"/>
      <c r="N90" s="22"/>
      <c r="O90" s="22"/>
    </row>
    <row r="91" spans="2:15" s="2" customFormat="1" x14ac:dyDescent="0.25">
      <c r="B91"/>
      <c r="C91" s="6"/>
      <c r="D91" s="62"/>
      <c r="E91" s="62"/>
      <c r="F91" s="62"/>
      <c r="G91" s="63"/>
      <c r="H91" s="63"/>
      <c r="I91" s="63"/>
      <c r="J91" s="63"/>
      <c r="K91" s="63"/>
      <c r="L91" s="63"/>
      <c r="M91" s="63"/>
      <c r="N91" s="63"/>
      <c r="O91" s="63"/>
    </row>
    <row r="92" spans="2:15" s="2" customFormat="1" x14ac:dyDescent="0.25">
      <c r="B92"/>
      <c r="C92" s="6"/>
      <c r="G92" s="3"/>
      <c r="H92" s="3"/>
      <c r="I92" s="3" t="s">
        <v>101</v>
      </c>
      <c r="J92" s="3" t="s">
        <v>101</v>
      </c>
      <c r="K92" s="3" t="s">
        <v>101</v>
      </c>
      <c r="L92" s="3"/>
      <c r="M92" s="3"/>
      <c r="N92" s="3"/>
      <c r="O92" s="3"/>
    </row>
    <row r="93" spans="2:15" s="2" customFormat="1" x14ac:dyDescent="0.25">
      <c r="B93"/>
      <c r="C93"/>
      <c r="G93" s="3"/>
      <c r="H93" s="3"/>
      <c r="I93" s="3"/>
      <c r="J93" s="3" t="s">
        <v>101</v>
      </c>
      <c r="K93" s="3"/>
      <c r="L93" s="3"/>
      <c r="M93" s="3"/>
      <c r="N93" s="3"/>
      <c r="O93" s="3"/>
    </row>
    <row r="94" spans="2:15" s="33" customFormat="1" x14ac:dyDescent="0.25">
      <c r="B94" s="30"/>
      <c r="C94" s="31"/>
      <c r="O94" s="32"/>
    </row>
    <row r="95" spans="2:15" s="9" customFormat="1" ht="15.75" x14ac:dyDescent="0.25">
      <c r="B95" s="7" t="s">
        <v>94</v>
      </c>
      <c r="C95" s="8"/>
      <c r="G95" s="10"/>
      <c r="H95" s="10"/>
      <c r="I95" s="10"/>
      <c r="J95" s="10"/>
      <c r="K95" s="10"/>
      <c r="L95" s="10"/>
      <c r="M95" s="10"/>
      <c r="N95" s="10"/>
      <c r="O95" s="10"/>
    </row>
    <row r="96" spans="2:15" s="9" customFormat="1" ht="15.75" x14ac:dyDescent="0.25">
      <c r="B96" s="11" t="s">
        <v>95</v>
      </c>
      <c r="C96" s="8"/>
      <c r="G96" s="10"/>
      <c r="H96" s="10"/>
      <c r="I96" s="10"/>
      <c r="J96" s="10"/>
      <c r="K96" s="10"/>
      <c r="L96" s="10"/>
      <c r="M96" s="10"/>
      <c r="N96" s="10"/>
      <c r="O96" s="10"/>
    </row>
    <row r="97" spans="1:15" s="9" customFormat="1" ht="15.75" x14ac:dyDescent="0.25">
      <c r="B97" s="11" t="s">
        <v>96</v>
      </c>
      <c r="C97" s="8"/>
      <c r="G97" s="10"/>
      <c r="H97" s="10"/>
      <c r="I97" s="10"/>
      <c r="J97" s="10"/>
      <c r="K97" s="10">
        <f>+K96-K95</f>
        <v>0</v>
      </c>
      <c r="L97" s="10"/>
      <c r="M97" s="10"/>
      <c r="N97" s="10"/>
      <c r="O97" s="10"/>
    </row>
    <row r="98" spans="1:15" s="9" customFormat="1" ht="15.75" x14ac:dyDescent="0.25">
      <c r="B98" s="11" t="s">
        <v>97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1:15" s="9" customFormat="1" ht="15.75" x14ac:dyDescent="0.25">
      <c r="B99" s="11" t="s">
        <v>98</v>
      </c>
      <c r="C99" s="8"/>
      <c r="G99" s="10"/>
      <c r="H99" s="10"/>
      <c r="I99" s="10"/>
      <c r="J99" s="10"/>
      <c r="K99" s="10"/>
      <c r="L99" s="10"/>
      <c r="M99" s="10"/>
      <c r="N99" s="10" t="s">
        <v>101</v>
      </c>
      <c r="O99" s="10"/>
    </row>
    <row r="100" spans="1:15" s="9" customFormat="1" ht="15.75" x14ac:dyDescent="0.25">
      <c r="B100" s="11" t="s">
        <v>99</v>
      </c>
      <c r="C100" s="8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s="2" customFormat="1" x14ac:dyDescent="0.25">
      <c r="B101" s="12"/>
      <c r="C101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2" customFormat="1" x14ac:dyDescent="0.25">
      <c r="B102" s="12"/>
      <c r="C102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2" customFormat="1" x14ac:dyDescent="0.25">
      <c r="B103" s="12"/>
      <c r="C10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2" customFormat="1" ht="18" x14ac:dyDescent="0.25">
      <c r="B108" s="12"/>
      <c r="C108"/>
      <c r="D108" s="64" t="s">
        <v>106</v>
      </c>
      <c r="E108" s="64"/>
      <c r="F108" s="64"/>
      <c r="G108" s="56"/>
      <c r="H108" s="56"/>
      <c r="I108" s="65" t="s">
        <v>100</v>
      </c>
      <c r="J108" s="65"/>
      <c r="K108" s="65"/>
      <c r="L108" s="3"/>
      <c r="M108" s="3"/>
      <c r="N108" s="3"/>
      <c r="O108" s="3"/>
    </row>
    <row r="109" spans="1:15" s="13" customFormat="1" ht="18" x14ac:dyDescent="0.25">
      <c r="B109" s="14"/>
      <c r="C109" s="14"/>
      <c r="D109" s="70" t="s">
        <v>108</v>
      </c>
      <c r="E109" s="70"/>
      <c r="F109" s="70"/>
      <c r="G109" s="54"/>
      <c r="H109" s="54"/>
      <c r="I109" s="69" t="s">
        <v>104</v>
      </c>
      <c r="J109" s="69"/>
      <c r="K109" s="69"/>
      <c r="L109" s="15"/>
      <c r="M109" s="15"/>
      <c r="N109" s="15"/>
      <c r="O109" s="15"/>
    </row>
    <row r="110" spans="1:15" s="17" customFormat="1" ht="18" x14ac:dyDescent="0.25">
      <c r="A110" s="16"/>
      <c r="D110" s="39"/>
      <c r="E110" s="54"/>
      <c r="F110" s="54"/>
      <c r="G110" s="54"/>
      <c r="H110" s="54"/>
      <c r="I110" s="59"/>
      <c r="J110" s="59"/>
      <c r="K110" s="39"/>
      <c r="L110" s="39"/>
      <c r="M110" s="39"/>
      <c r="N110" s="39"/>
      <c r="O110" s="39"/>
    </row>
    <row r="111" spans="1:15" s="17" customFormat="1" ht="15" customHeight="1" x14ac:dyDescent="0.25">
      <c r="A111" s="18"/>
      <c r="D111" s="39"/>
      <c r="E111" s="54"/>
      <c r="F111" s="54"/>
      <c r="G111" s="54"/>
      <c r="H111" s="54"/>
      <c r="I111" s="54"/>
      <c r="J111" s="54"/>
      <c r="K111" s="39"/>
      <c r="L111" s="39"/>
      <c r="M111" s="39"/>
      <c r="N111" s="39"/>
      <c r="O111" s="39"/>
    </row>
    <row r="112" spans="1:15" s="17" customFormat="1" ht="18" x14ac:dyDescent="0.25">
      <c r="A112" s="18"/>
      <c r="D112" s="39"/>
      <c r="E112" s="54"/>
      <c r="F112" s="54"/>
      <c r="G112" s="54"/>
      <c r="H112" s="54"/>
      <c r="I112" s="54"/>
      <c r="J112" s="54"/>
      <c r="K112" s="39"/>
      <c r="L112" s="39"/>
      <c r="M112" s="39"/>
      <c r="N112" s="39"/>
      <c r="O112" s="39"/>
    </row>
    <row r="113" spans="1:15" s="17" customFormat="1" ht="18" x14ac:dyDescent="0.25">
      <c r="A113" s="18"/>
      <c r="D113" s="39"/>
      <c r="E113" s="54"/>
      <c r="F113" s="54"/>
      <c r="G113" s="54"/>
      <c r="H113" s="54"/>
      <c r="I113" s="54"/>
      <c r="J113" s="54"/>
      <c r="K113" s="39"/>
      <c r="L113" s="39"/>
      <c r="M113" s="39"/>
      <c r="N113" s="39"/>
      <c r="O113" s="39"/>
    </row>
    <row r="114" spans="1:15" s="17" customFormat="1" ht="18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39"/>
      <c r="F115"/>
      <c r="G115"/>
      <c r="H115"/>
      <c r="I115" s="65"/>
      <c r="J115" s="65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39"/>
      <c r="F116"/>
      <c r="G116"/>
      <c r="H116"/>
      <c r="I116" s="65"/>
      <c r="J116" s="65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5"/>
      <c r="F117" s="55"/>
      <c r="G117" s="55"/>
      <c r="H117" s="54"/>
      <c r="I117" s="60"/>
      <c r="J117" s="61"/>
      <c r="K117" s="39"/>
      <c r="L117" s="39"/>
      <c r="M117" s="39"/>
      <c r="N117" s="39"/>
      <c r="O117" s="39"/>
    </row>
    <row r="118" spans="1:15" s="17" customFormat="1" ht="15" customHeight="1" x14ac:dyDescent="0.2">
      <c r="A118" s="18"/>
      <c r="D118" s="39"/>
      <c r="E118" s="39"/>
      <c r="F118" s="39"/>
      <c r="G118" s="57"/>
      <c r="H118" s="58"/>
      <c r="I118" s="58"/>
      <c r="J118" s="39"/>
      <c r="K118" s="39"/>
      <c r="L118" s="39"/>
      <c r="M118" s="39"/>
      <c r="N118" s="39"/>
      <c r="O118" s="39"/>
    </row>
    <row r="119" spans="1:15" s="13" customFormat="1" ht="14.25" x14ac:dyDescent="0.2">
      <c r="B119" s="14"/>
      <c r="C119" s="14"/>
      <c r="G119" s="19"/>
      <c r="H119" s="15"/>
      <c r="I119" s="15"/>
      <c r="J119" s="15"/>
      <c r="K119" s="15"/>
      <c r="L119" s="15"/>
      <c r="M119" s="15"/>
      <c r="N119" s="15"/>
      <c r="O119" s="15"/>
    </row>
    <row r="120" spans="1:15" s="13" customFormat="1" ht="14.25" x14ac:dyDescent="0.2">
      <c r="B120" s="14"/>
      <c r="C120" s="14"/>
      <c r="G120" s="19"/>
      <c r="H120" s="15"/>
      <c r="I120" s="15"/>
      <c r="J120" s="15"/>
      <c r="K120" s="15"/>
      <c r="L120" s="15"/>
      <c r="M120" s="15"/>
      <c r="N120" s="15"/>
      <c r="O120" s="15"/>
    </row>
    <row r="121" spans="1:15" s="13" customFormat="1" ht="14.25" x14ac:dyDescent="0.2">
      <c r="B121" s="14"/>
      <c r="C121" s="14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s="13" customFormat="1" ht="14.25" x14ac:dyDescent="0.2">
      <c r="B122" s="14"/>
      <c r="C122" s="14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s="2" customFormat="1" x14ac:dyDescent="0.25">
      <c r="B123"/>
      <c r="C12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2" customFormat="1" x14ac:dyDescent="0.25">
      <c r="B124"/>
      <c r="C124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2" customFormat="1" x14ac:dyDescent="0.25">
      <c r="B125"/>
      <c r="C125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</sheetData>
  <mergeCells count="13">
    <mergeCell ref="D108:F108"/>
    <mergeCell ref="I116:J116"/>
    <mergeCell ref="B1:O1"/>
    <mergeCell ref="B2:O2"/>
    <mergeCell ref="B3:O3"/>
    <mergeCell ref="B4:O4"/>
    <mergeCell ref="B5:O5"/>
    <mergeCell ref="B7:O7"/>
    <mergeCell ref="I115:J115"/>
    <mergeCell ref="B6:O6"/>
    <mergeCell ref="I108:K108"/>
    <mergeCell ref="I109:K109"/>
    <mergeCell ref="D109:F109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6" max="14" man="1"/>
    <brk id="76" max="14" man="1"/>
    <brk id="11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PortaL JULIO</vt:lpstr>
      <vt:lpstr>'Ejecución PortaL JULIO'!Área_de_impresión</vt:lpstr>
      <vt:lpstr>'Ejecución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Maria Rojas</cp:lastModifiedBy>
  <cp:lastPrinted>2021-08-03T13:16:37Z</cp:lastPrinted>
  <dcterms:created xsi:type="dcterms:W3CDTF">2019-02-08T13:48:25Z</dcterms:created>
  <dcterms:modified xsi:type="dcterms:W3CDTF">2021-08-06T17:18:24Z</dcterms:modified>
</cp:coreProperties>
</file>