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okasta.burgos\Desktop\Estados financieros\2022\DICIEMBRE\SISANOC\20.1.23\"/>
    </mc:Choice>
  </mc:AlternateContent>
  <bookViews>
    <workbookView xWindow="0" yWindow="0" windowWidth="20280" windowHeight="6780" tabRatio="737" firstSheet="1" activeTab="4"/>
  </bookViews>
  <sheets>
    <sheet name="1.Estado de Situación Comparat" sheetId="2" r:id="rId1"/>
    <sheet name="2.Est. de Rendimiento Comparat" sheetId="3" r:id="rId2"/>
    <sheet name="3.Cambio del Patrimonio f." sheetId="4" r:id="rId3"/>
    <sheet name="4.Flujo de Efectivo Anual" sheetId="6" r:id="rId4"/>
    <sheet name="6.NOTA ACUMULADA" sheetId="8" r:id="rId5"/>
  </sheets>
  <externalReferences>
    <externalReference r:id="rId6"/>
  </externalReferences>
  <definedNames>
    <definedName name="_Toc180760083" localSheetId="4">'6.NOTA ACUMULADA'!$B$36</definedName>
    <definedName name="_Toc191191204" localSheetId="4">'6.NOTA ACUMULADA'!$B$32</definedName>
    <definedName name="_Toc191191207" localSheetId="4">'6.NOTA ACUMULADA'!$B$39</definedName>
    <definedName name="_Toc208202778" localSheetId="4">'6.NOTA ACUMULADA'!$B$28</definedName>
    <definedName name="abanicos" localSheetId="0">#REF!</definedName>
    <definedName name="abanicos" localSheetId="1">#REF!</definedName>
    <definedName name="abanicos" localSheetId="2">#REF!</definedName>
    <definedName name="abanicos" localSheetId="3">#REF!</definedName>
    <definedName name="abanicos" localSheetId="4">#REF!</definedName>
    <definedName name="abanicos">#REF!</definedName>
    <definedName name="ahaha" localSheetId="0">#REF!</definedName>
    <definedName name="ahaha" localSheetId="1">#REF!</definedName>
    <definedName name="ahaha" localSheetId="2">#REF!</definedName>
    <definedName name="ahaha" localSheetId="3">#REF!</definedName>
    <definedName name="ahaha" localSheetId="4">#REF!</definedName>
    <definedName name="ahaha">#REF!</definedName>
    <definedName name="_xlnm.Print_Area" localSheetId="0">'1.Estado de Situación Comparat'!$A$1:$J$77</definedName>
    <definedName name="_xlnm.Print_Area" localSheetId="1">'2.Est. de Rendimiento Comparat'!$A$1:$E$55</definedName>
    <definedName name="_xlnm.Print_Area" localSheetId="2">'3.Cambio del Patrimonio f.'!$A$1:$P$101</definedName>
    <definedName name="_xlnm.Print_Area" localSheetId="3">'4.Flujo de Efectivo Anual'!$A$1:$F$76</definedName>
    <definedName name="_xlnm.Print_Area" localSheetId="4">'6.NOTA ACUMULADA'!$A$1:$J$896</definedName>
    <definedName name="copia">#REF!</definedName>
    <definedName name="ddd" localSheetId="2">#REF!</definedName>
    <definedName name="ddd">#REF!</definedName>
    <definedName name="dddd">#REF!</definedName>
    <definedName name="ddff">#REF!</definedName>
    <definedName name="E.D.007" localSheetId="0">#REF!</definedName>
    <definedName name="E.D.007" localSheetId="1">#REF!</definedName>
    <definedName name="E.D.007" localSheetId="2">#REF!</definedName>
    <definedName name="E.D.007" localSheetId="3">#REF!</definedName>
    <definedName name="E.D.007" localSheetId="4">#REF!</definedName>
    <definedName name="E.D.007">#REF!</definedName>
    <definedName name="E.D.018" localSheetId="0">#REF!</definedName>
    <definedName name="E.D.018" localSheetId="1">#REF!</definedName>
    <definedName name="E.D.018" localSheetId="2">#REF!</definedName>
    <definedName name="E.D.018" localSheetId="3">#REF!</definedName>
    <definedName name="E.D.018" localSheetId="4">#REF!</definedName>
    <definedName name="E.D.018">#REF!</definedName>
    <definedName name="E.D.031" localSheetId="0">#REF!</definedName>
    <definedName name="E.D.031" localSheetId="1">#REF!</definedName>
    <definedName name="E.D.031" localSheetId="2">#REF!</definedName>
    <definedName name="E.D.031" localSheetId="3">#REF!</definedName>
    <definedName name="E.D.031" localSheetId="4">#REF!</definedName>
    <definedName name="E.D.031">#REF!</definedName>
    <definedName name="ed.007" localSheetId="2">#REF!</definedName>
    <definedName name="ed.007" localSheetId="3">#REF!</definedName>
    <definedName name="ed.007">#REF!</definedName>
    <definedName name="fbdkjsfn" localSheetId="0">#REF!</definedName>
    <definedName name="fbdkjsfn" localSheetId="1">#REF!</definedName>
    <definedName name="fbdkjsfn" localSheetId="2">#REF!</definedName>
    <definedName name="fbdkjsfn" localSheetId="3">#REF!</definedName>
    <definedName name="fbdkjsfn" localSheetId="4">#REF!</definedName>
    <definedName name="fbdkjsfn">#REF!</definedName>
    <definedName name="fdfdf" localSheetId="0">#REF!</definedName>
    <definedName name="fdfdf" localSheetId="1">#REF!</definedName>
    <definedName name="fdfdf" localSheetId="2">#REF!</definedName>
    <definedName name="fdfdf" localSheetId="3">#REF!</definedName>
    <definedName name="fdfdf" localSheetId="4">#REF!</definedName>
    <definedName name="fdfdf">#REF!</definedName>
    <definedName name="ffddff">#REF!</definedName>
    <definedName name="fff" localSheetId="0">#REF!</definedName>
    <definedName name="fff" localSheetId="1">#REF!</definedName>
    <definedName name="fff" localSheetId="2">#REF!</definedName>
    <definedName name="fff" localSheetId="3">#REF!</definedName>
    <definedName name="fff" localSheetId="4">#REF!</definedName>
    <definedName name="fff">#REF!</definedName>
    <definedName name="FJDSFJKN" localSheetId="0">#REF!</definedName>
    <definedName name="FJDSFJKN" localSheetId="1">#REF!</definedName>
    <definedName name="FJDSFJKN" localSheetId="2">#REF!</definedName>
    <definedName name="FJDSFJKN" localSheetId="3">#REF!</definedName>
    <definedName name="FJDSFJKN" localSheetId="4">#REF!</definedName>
    <definedName name="FJDSFJKN">#REF!</definedName>
    <definedName name="NOMBRE" localSheetId="2">#REF!</definedName>
    <definedName name="NOMBRE" localSheetId="3">#REF!</definedName>
    <definedName name="NOMBRE">#REF!</definedName>
    <definedName name="Región">'[1]Criterios - No tocar'!$B$1:$K$1</definedName>
    <definedName name="_xlnm.Print_Titles" localSheetId="4">'6.NOTA ACUMULADA'!$2:$7</definedName>
    <definedName name="Trimestre">'[1]Criterios - No tocar'!$M$2:$M$6</definedName>
    <definedName name="wendy">#REF!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97" i="8" l="1"/>
  <c r="D328" i="8" l="1"/>
  <c r="D676" i="8" l="1"/>
  <c r="D705" i="8"/>
  <c r="D711" i="8"/>
  <c r="D714" i="8"/>
  <c r="D656" i="8"/>
  <c r="F247" i="8" l="1"/>
  <c r="E877" i="8"/>
  <c r="E875" i="8"/>
  <c r="G874" i="8"/>
  <c r="E865" i="8"/>
  <c r="E863" i="8"/>
  <c r="F862" i="8"/>
  <c r="F863" i="8" s="1"/>
  <c r="F865" i="8" s="1"/>
  <c r="G852" i="8"/>
  <c r="E852" i="8"/>
  <c r="D852" i="8"/>
  <c r="G851" i="8"/>
  <c r="F851" i="8"/>
  <c r="G850" i="8"/>
  <c r="F850" i="8"/>
  <c r="F852" i="8" s="1"/>
  <c r="E845" i="8"/>
  <c r="E854" i="8" s="1"/>
  <c r="D845" i="8"/>
  <c r="G842" i="8"/>
  <c r="F842" i="8"/>
  <c r="G841" i="8"/>
  <c r="G845" i="8" s="1"/>
  <c r="F841" i="8"/>
  <c r="F845" i="8" s="1"/>
  <c r="H840" i="8"/>
  <c r="E836" i="8"/>
  <c r="F834" i="8"/>
  <c r="G833" i="8"/>
  <c r="F832" i="8"/>
  <c r="F831" i="8"/>
  <c r="G830" i="8"/>
  <c r="F830" i="8"/>
  <c r="F829" i="8"/>
  <c r="F828" i="8"/>
  <c r="F827" i="8"/>
  <c r="F826" i="8"/>
  <c r="F825" i="8"/>
  <c r="G824" i="8"/>
  <c r="F824" i="8"/>
  <c r="F821" i="8"/>
  <c r="G820" i="8"/>
  <c r="F820" i="8"/>
  <c r="G819" i="8"/>
  <c r="F819" i="8"/>
  <c r="G818" i="8"/>
  <c r="F818" i="8"/>
  <c r="G817" i="8"/>
  <c r="F817" i="8"/>
  <c r="G816" i="8"/>
  <c r="F816" i="8"/>
  <c r="F815" i="8"/>
  <c r="F814" i="8"/>
  <c r="F813" i="8"/>
  <c r="G812" i="8"/>
  <c r="F812" i="8"/>
  <c r="F811" i="8"/>
  <c r="F810" i="8"/>
  <c r="G808" i="8"/>
  <c r="F808" i="8"/>
  <c r="G807" i="8"/>
  <c r="F807" i="8"/>
  <c r="G806" i="8"/>
  <c r="F806" i="8"/>
  <c r="G805" i="8"/>
  <c r="F805" i="8"/>
  <c r="G804" i="8"/>
  <c r="F804" i="8"/>
  <c r="G803" i="8"/>
  <c r="F803" i="8"/>
  <c r="F801" i="8"/>
  <c r="G800" i="8"/>
  <c r="F800" i="8"/>
  <c r="G799" i="8"/>
  <c r="F799" i="8"/>
  <c r="G798" i="8"/>
  <c r="F798" i="8"/>
  <c r="F797" i="8"/>
  <c r="G796" i="8"/>
  <c r="F796" i="8"/>
  <c r="G795" i="8"/>
  <c r="F795" i="8"/>
  <c r="G794" i="8"/>
  <c r="F794" i="8"/>
  <c r="G793" i="8"/>
  <c r="F793" i="8"/>
  <c r="F792" i="8"/>
  <c r="F836" i="8" s="1"/>
  <c r="G791" i="8"/>
  <c r="F791" i="8"/>
  <c r="E782" i="8"/>
  <c r="D782" i="8"/>
  <c r="D770" i="8"/>
  <c r="D766" i="8"/>
  <c r="D762" i="8"/>
  <c r="D741" i="8"/>
  <c r="D739" i="8"/>
  <c r="D737" i="8"/>
  <c r="E719" i="8"/>
  <c r="E717" i="8"/>
  <c r="F714" i="8"/>
  <c r="F713" i="8"/>
  <c r="F712" i="8"/>
  <c r="F711" i="8"/>
  <c r="F710" i="8"/>
  <c r="F709" i="8"/>
  <c r="F707" i="8"/>
  <c r="G706" i="8"/>
  <c r="F706" i="8"/>
  <c r="G704" i="8"/>
  <c r="F704" i="8"/>
  <c r="F703" i="8"/>
  <c r="G702" i="8"/>
  <c r="F702" i="8"/>
  <c r="F701" i="8"/>
  <c r="F699" i="8"/>
  <c r="F698" i="8"/>
  <c r="F697" i="8"/>
  <c r="G696" i="8"/>
  <c r="F696" i="8"/>
  <c r="F695" i="8"/>
  <c r="G694" i="8"/>
  <c r="F694" i="8"/>
  <c r="F693" i="8"/>
  <c r="F692" i="8"/>
  <c r="G691" i="8"/>
  <c r="F691" i="8"/>
  <c r="F690" i="8"/>
  <c r="F689" i="8"/>
  <c r="F688" i="8"/>
  <c r="F687" i="8"/>
  <c r="G685" i="8"/>
  <c r="F685" i="8"/>
  <c r="G684" i="8"/>
  <c r="F684" i="8"/>
  <c r="D745" i="8"/>
  <c r="F683" i="8"/>
  <c r="F682" i="8"/>
  <c r="G681" i="8"/>
  <c r="G680" i="8"/>
  <c r="F680" i="8"/>
  <c r="G679" i="8"/>
  <c r="F679" i="8"/>
  <c r="G678" i="8"/>
  <c r="F678" i="8"/>
  <c r="F677" i="8"/>
  <c r="F676" i="8"/>
  <c r="G675" i="8"/>
  <c r="F675" i="8"/>
  <c r="G674" i="8"/>
  <c r="F674" i="8"/>
  <c r="F673" i="8"/>
  <c r="G672" i="8"/>
  <c r="F672" i="8"/>
  <c r="G671" i="8"/>
  <c r="F671" i="8"/>
  <c r="F670" i="8"/>
  <c r="G669" i="8"/>
  <c r="F669" i="8"/>
  <c r="G668" i="8"/>
  <c r="F668" i="8"/>
  <c r="G667" i="8"/>
  <c r="F667" i="8"/>
  <c r="E663" i="8"/>
  <c r="G662" i="8"/>
  <c r="F662" i="8"/>
  <c r="F661" i="8"/>
  <c r="G660" i="8"/>
  <c r="F660" i="8"/>
  <c r="G659" i="8"/>
  <c r="F659" i="8"/>
  <c r="G658" i="8"/>
  <c r="F658" i="8"/>
  <c r="G657" i="8"/>
  <c r="F657" i="8"/>
  <c r="F656" i="8"/>
  <c r="E644" i="8"/>
  <c r="E646" i="8" s="1"/>
  <c r="D644" i="8"/>
  <c r="G643" i="8"/>
  <c r="F643" i="8"/>
  <c r="F644" i="8" s="1"/>
  <c r="F646" i="8" s="1"/>
  <c r="E633" i="8"/>
  <c r="F632" i="8"/>
  <c r="G631" i="8"/>
  <c r="F631" i="8"/>
  <c r="G630" i="8"/>
  <c r="E623" i="8"/>
  <c r="E635" i="8" s="1"/>
  <c r="D623" i="8"/>
  <c r="F622" i="8"/>
  <c r="F623" i="8" s="1"/>
  <c r="E615" i="8"/>
  <c r="G613" i="8"/>
  <c r="F613" i="8"/>
  <c r="G612" i="8"/>
  <c r="F611" i="8"/>
  <c r="G610" i="8"/>
  <c r="F609" i="8"/>
  <c r="F608" i="8"/>
  <c r="G607" i="8"/>
  <c r="G606" i="8"/>
  <c r="E601" i="8"/>
  <c r="F599" i="8"/>
  <c r="F598" i="8"/>
  <c r="F596" i="8"/>
  <c r="F595" i="8"/>
  <c r="C581" i="8"/>
  <c r="E572" i="8"/>
  <c r="G571" i="8"/>
  <c r="F571" i="8"/>
  <c r="F572" i="8" s="1"/>
  <c r="D572" i="8"/>
  <c r="G572" i="8" s="1"/>
  <c r="E566" i="8"/>
  <c r="C542" i="8"/>
  <c r="D537" i="8" s="1"/>
  <c r="D541" i="8"/>
  <c r="D539" i="8"/>
  <c r="D535" i="8"/>
  <c r="D534" i="8"/>
  <c r="D530" i="8"/>
  <c r="D529" i="8"/>
  <c r="E511" i="8"/>
  <c r="F510" i="8"/>
  <c r="F508" i="8"/>
  <c r="F507" i="8"/>
  <c r="F506" i="8"/>
  <c r="F505" i="8"/>
  <c r="G504" i="8"/>
  <c r="F504" i="8"/>
  <c r="E493" i="8"/>
  <c r="E490" i="8"/>
  <c r="G490" i="8" s="1"/>
  <c r="G493" i="8" s="1"/>
  <c r="D490" i="8"/>
  <c r="D493" i="8" s="1"/>
  <c r="G489" i="8"/>
  <c r="F489" i="8"/>
  <c r="G488" i="8"/>
  <c r="F488" i="8"/>
  <c r="G487" i="8"/>
  <c r="F487" i="8"/>
  <c r="G486" i="8"/>
  <c r="F486" i="8"/>
  <c r="G485" i="8"/>
  <c r="F485" i="8"/>
  <c r="G484" i="8"/>
  <c r="F484" i="8"/>
  <c r="G483" i="8"/>
  <c r="F483" i="8"/>
  <c r="G482" i="8"/>
  <c r="F482" i="8"/>
  <c r="F481" i="8"/>
  <c r="G480" i="8"/>
  <c r="F480" i="8"/>
  <c r="G479" i="8"/>
  <c r="F479" i="8"/>
  <c r="G478" i="8"/>
  <c r="F478" i="8"/>
  <c r="G477" i="8"/>
  <c r="F477" i="8"/>
  <c r="G476" i="8"/>
  <c r="F476" i="8"/>
  <c r="F490" i="8" s="1"/>
  <c r="F493" i="8" s="1"/>
  <c r="G475" i="8"/>
  <c r="F475" i="8"/>
  <c r="G455" i="8"/>
  <c r="G452" i="8"/>
  <c r="F452" i="8"/>
  <c r="E452" i="8"/>
  <c r="E451" i="8"/>
  <c r="E453" i="8" s="1"/>
  <c r="E456" i="8" s="1"/>
  <c r="D438" i="8" s="1"/>
  <c r="E441" i="8"/>
  <c r="F440" i="8"/>
  <c r="F439" i="8"/>
  <c r="E424" i="8"/>
  <c r="D424" i="8"/>
  <c r="G424" i="8" s="1"/>
  <c r="E405" i="8"/>
  <c r="G404" i="8"/>
  <c r="F403" i="8"/>
  <c r="F402" i="8"/>
  <c r="G401" i="8"/>
  <c r="F400" i="8"/>
  <c r="G399" i="8"/>
  <c r="F399" i="8"/>
  <c r="G398" i="8"/>
  <c r="G397" i="8"/>
  <c r="E385" i="8"/>
  <c r="F384" i="8"/>
  <c r="F383" i="8"/>
  <c r="F382" i="8"/>
  <c r="F381" i="8"/>
  <c r="F380" i="8"/>
  <c r="F379" i="8"/>
  <c r="F378" i="8"/>
  <c r="F377" i="8"/>
  <c r="F376" i="8"/>
  <c r="F375" i="8"/>
  <c r="G374" i="8"/>
  <c r="F372" i="8"/>
  <c r="F371" i="8"/>
  <c r="E362" i="8"/>
  <c r="F360" i="8"/>
  <c r="F359" i="8"/>
  <c r="G358" i="8"/>
  <c r="F357" i="8"/>
  <c r="F356" i="8"/>
  <c r="F355" i="8"/>
  <c r="G354" i="8"/>
  <c r="F353" i="8"/>
  <c r="G352" i="8"/>
  <c r="F352" i="8"/>
  <c r="F351" i="8"/>
  <c r="G350" i="8"/>
  <c r="E342" i="8"/>
  <c r="D342" i="8"/>
  <c r="G342" i="8" s="1"/>
  <c r="G341" i="8"/>
  <c r="F341" i="8"/>
  <c r="F342" i="8" s="1"/>
  <c r="C328" i="8"/>
  <c r="C327" i="8"/>
  <c r="C323" i="8"/>
  <c r="C315" i="8"/>
  <c r="C304" i="8"/>
  <c r="C293" i="8"/>
  <c r="C286" i="8"/>
  <c r="D249" i="8"/>
  <c r="D248" i="8"/>
  <c r="C248" i="8"/>
  <c r="C249" i="8" s="1"/>
  <c r="E246" i="8"/>
  <c r="E248" i="8" s="1"/>
  <c r="D246" i="8"/>
  <c r="C246" i="8"/>
  <c r="D244" i="8"/>
  <c r="C244" i="8"/>
  <c r="E243" i="8"/>
  <c r="F243" i="8" s="1"/>
  <c r="F244" i="8" s="1"/>
  <c r="F242" i="8"/>
  <c r="E228" i="8"/>
  <c r="G227" i="8"/>
  <c r="F227" i="8"/>
  <c r="D226" i="8"/>
  <c r="G225" i="8"/>
  <c r="F225" i="8"/>
  <c r="G224" i="8"/>
  <c r="F224" i="8"/>
  <c r="G223" i="8"/>
  <c r="F223" i="8"/>
  <c r="F222" i="8"/>
  <c r="G221" i="8"/>
  <c r="F221" i="8"/>
  <c r="G220" i="8"/>
  <c r="F220" i="8"/>
  <c r="G219" i="8"/>
  <c r="F219" i="8"/>
  <c r="G218" i="8"/>
  <c r="F218" i="8"/>
  <c r="G217" i="8"/>
  <c r="F217" i="8"/>
  <c r="G216" i="8"/>
  <c r="F216" i="8"/>
  <c r="G215" i="8"/>
  <c r="F215" i="8"/>
  <c r="G214" i="8"/>
  <c r="F214" i="8"/>
  <c r="C187" i="8"/>
  <c r="C179" i="8"/>
  <c r="E146" i="8"/>
  <c r="G145" i="8"/>
  <c r="F144" i="8"/>
  <c r="G143" i="8"/>
  <c r="G142" i="8"/>
  <c r="F141" i="8"/>
  <c r="E139" i="8"/>
  <c r="G139" i="8"/>
  <c r="G138" i="8"/>
  <c r="F138" i="8"/>
  <c r="G137" i="8"/>
  <c r="F137" i="8"/>
  <c r="G134" i="8"/>
  <c r="F133" i="8"/>
  <c r="G132" i="8"/>
  <c r="G131" i="8"/>
  <c r="E109" i="8"/>
  <c r="G108" i="8"/>
  <c r="F107" i="8"/>
  <c r="F106" i="8"/>
  <c r="F105" i="8"/>
  <c r="G104" i="8"/>
  <c r="F104" i="8"/>
  <c r="D109" i="8"/>
  <c r="C56" i="6"/>
  <c r="C54" i="6"/>
  <c r="E40" i="6"/>
  <c r="C33" i="6"/>
  <c r="C40" i="6" s="1"/>
  <c r="H24" i="6"/>
  <c r="C24" i="6"/>
  <c r="H23" i="6"/>
  <c r="G21" i="6"/>
  <c r="E21" i="6"/>
  <c r="E24" i="6" s="1"/>
  <c r="E56" i="6" s="1"/>
  <c r="E58" i="6" s="1"/>
  <c r="C57" i="6" s="1"/>
  <c r="E18" i="6"/>
  <c r="H17" i="6"/>
  <c r="G17" i="6"/>
  <c r="K33" i="4"/>
  <c r="I33" i="4"/>
  <c r="G33" i="4"/>
  <c r="E33" i="4"/>
  <c r="C33" i="4"/>
  <c r="I21" i="4"/>
  <c r="I27" i="4" s="1"/>
  <c r="I39" i="4" s="1"/>
  <c r="I40" i="4" s="1"/>
  <c r="G21" i="4"/>
  <c r="E21" i="4"/>
  <c r="C21" i="4"/>
  <c r="K20" i="4"/>
  <c r="K19" i="4"/>
  <c r="K16" i="4"/>
  <c r="K21" i="4" s="1"/>
  <c r="K27" i="4" s="1"/>
  <c r="C45" i="2"/>
  <c r="C44" i="2"/>
  <c r="C39" i="2"/>
  <c r="C33" i="2"/>
  <c r="C25" i="2"/>
  <c r="C20" i="2"/>
  <c r="H33" i="3"/>
  <c r="G32" i="3"/>
  <c r="E34" i="3"/>
  <c r="F43" i="3" s="1"/>
  <c r="H32" i="3"/>
  <c r="H31" i="3"/>
  <c r="F30" i="3"/>
  <c r="G29" i="3"/>
  <c r="F29" i="3"/>
  <c r="H28" i="3"/>
  <c r="E25" i="3"/>
  <c r="C25" i="3"/>
  <c r="H25" i="3" s="1"/>
  <c r="G24" i="3"/>
  <c r="F24" i="3"/>
  <c r="H23" i="3"/>
  <c r="G23" i="3"/>
  <c r="F23" i="3"/>
  <c r="N22" i="3"/>
  <c r="G22" i="3"/>
  <c r="F22" i="3"/>
  <c r="E20" i="3"/>
  <c r="C20" i="3"/>
  <c r="B14" i="3"/>
  <c r="G17" i="2"/>
  <c r="H17" i="2"/>
  <c r="G18" i="2"/>
  <c r="H18" i="2"/>
  <c r="G19" i="2"/>
  <c r="E20" i="2"/>
  <c r="E27" i="2" s="1"/>
  <c r="G23" i="2"/>
  <c r="H23" i="2"/>
  <c r="I23" i="2"/>
  <c r="G24" i="2"/>
  <c r="H24" i="2"/>
  <c r="E25" i="2"/>
  <c r="G25" i="2"/>
  <c r="H25" i="2"/>
  <c r="G30" i="2"/>
  <c r="H30" i="2"/>
  <c r="G31" i="2"/>
  <c r="H32" i="2"/>
  <c r="G32" i="2"/>
  <c r="E33" i="2"/>
  <c r="E39" i="2" s="1"/>
  <c r="E45" i="2" s="1"/>
  <c r="H37" i="2"/>
  <c r="G36" i="2"/>
  <c r="H36" i="2"/>
  <c r="E37" i="2"/>
  <c r="G37" i="2"/>
  <c r="G42" i="2"/>
  <c r="H42" i="2"/>
  <c r="E44" i="2"/>
  <c r="G231" i="2"/>
  <c r="F663" i="8" l="1"/>
  <c r="G351" i="8"/>
  <c r="F423" i="8"/>
  <c r="F424" i="8" s="1"/>
  <c r="F455" i="8"/>
  <c r="F607" i="8"/>
  <c r="H36" i="3"/>
  <c r="G356" i="8"/>
  <c r="G359" i="8"/>
  <c r="G423" i="8"/>
  <c r="G507" i="8"/>
  <c r="F610" i="8"/>
  <c r="G36" i="3"/>
  <c r="F32" i="3"/>
  <c r="G632" i="8"/>
  <c r="E387" i="8"/>
  <c r="C586" i="8"/>
  <c r="D579" i="8" s="1"/>
  <c r="F509" i="8"/>
  <c r="F511" i="8" s="1"/>
  <c r="F854" i="8"/>
  <c r="D581" i="8"/>
  <c r="F438" i="8"/>
  <c r="G438" i="8"/>
  <c r="D441" i="8"/>
  <c r="D451" i="8"/>
  <c r="G109" i="8"/>
  <c r="D405" i="8"/>
  <c r="G405" i="8" s="1"/>
  <c r="D601" i="8"/>
  <c r="F597" i="8"/>
  <c r="F103" i="8"/>
  <c r="F134" i="8"/>
  <c r="F143" i="8"/>
  <c r="F350" i="8"/>
  <c r="F398" i="8"/>
  <c r="F401" i="8"/>
  <c r="G644" i="8"/>
  <c r="D717" i="8"/>
  <c r="D836" i="8"/>
  <c r="G836" i="8" s="1"/>
  <c r="F874" i="8"/>
  <c r="F875" i="8" s="1"/>
  <c r="F877" i="8" s="1"/>
  <c r="G103" i="8"/>
  <c r="F139" i="8"/>
  <c r="G355" i="8"/>
  <c r="D531" i="8"/>
  <c r="G600" i="8"/>
  <c r="D772" i="8"/>
  <c r="F705" i="8"/>
  <c r="F781" i="8"/>
  <c r="F782" i="8" s="1"/>
  <c r="G811" i="8"/>
  <c r="D863" i="8"/>
  <c r="D875" i="8"/>
  <c r="D228" i="8"/>
  <c r="F226" i="8"/>
  <c r="F228" i="8" s="1"/>
  <c r="E244" i="8"/>
  <c r="E249" i="8" s="1"/>
  <c r="D385" i="8"/>
  <c r="F108" i="8"/>
  <c r="G141" i="8"/>
  <c r="G226" i="8"/>
  <c r="F246" i="8"/>
  <c r="F248" i="8" s="1"/>
  <c r="F249" i="8" s="1"/>
  <c r="G353" i="8"/>
  <c r="F358" i="8"/>
  <c r="G403" i="8"/>
  <c r="F600" i="8"/>
  <c r="G608" i="8"/>
  <c r="F612" i="8"/>
  <c r="D633" i="8"/>
  <c r="D663" i="8"/>
  <c r="G663" i="8" s="1"/>
  <c r="G656" i="8"/>
  <c r="G862" i="8"/>
  <c r="F145" i="8"/>
  <c r="D540" i="8"/>
  <c r="D536" i="8"/>
  <c r="D532" i="8"/>
  <c r="D528" i="8"/>
  <c r="D615" i="8"/>
  <c r="F630" i="8"/>
  <c r="F633" i="8" s="1"/>
  <c r="G105" i="8"/>
  <c r="F131" i="8"/>
  <c r="G133" i="8"/>
  <c r="F142" i="8"/>
  <c r="D146" i="8"/>
  <c r="G146" i="8" s="1"/>
  <c r="F354" i="8"/>
  <c r="G357" i="8"/>
  <c r="D362" i="8"/>
  <c r="G362" i="8" s="1"/>
  <c r="F374" i="8"/>
  <c r="F385" i="8" s="1"/>
  <c r="G376" i="8"/>
  <c r="F397" i="8"/>
  <c r="G400" i="8"/>
  <c r="F404" i="8"/>
  <c r="D511" i="8"/>
  <c r="G511" i="8" s="1"/>
  <c r="G505" i="8"/>
  <c r="D533" i="8"/>
  <c r="D538" i="8"/>
  <c r="F606" i="8"/>
  <c r="F681" i="8"/>
  <c r="F717" i="8" s="1"/>
  <c r="F719" i="8" s="1"/>
  <c r="G705" i="8"/>
  <c r="G781" i="8"/>
  <c r="G782" i="8" s="1"/>
  <c r="G821" i="8"/>
  <c r="C58" i="6"/>
  <c r="C60" i="6" s="1"/>
  <c r="K39" i="4"/>
  <c r="K40" i="4" s="1"/>
  <c r="L27" i="4"/>
  <c r="G33" i="2"/>
  <c r="G39" i="2" s="1"/>
  <c r="G25" i="3"/>
  <c r="E38" i="3"/>
  <c r="J28" i="3"/>
  <c r="H22" i="3"/>
  <c r="H24" i="3"/>
  <c r="F25" i="3"/>
  <c r="F28" i="3"/>
  <c r="H29" i="3"/>
  <c r="G30" i="3"/>
  <c r="F31" i="3"/>
  <c r="F33" i="3"/>
  <c r="C34" i="3"/>
  <c r="G28" i="3"/>
  <c r="H30" i="3"/>
  <c r="G31" i="3"/>
  <c r="G33" i="3"/>
  <c r="C38" i="3"/>
  <c r="G43" i="2"/>
  <c r="H43" i="2"/>
  <c r="G20" i="2"/>
  <c r="G27" i="2" s="1"/>
  <c r="H31" i="2"/>
  <c r="H19" i="2"/>
  <c r="H38" i="3" l="1"/>
  <c r="F615" i="8"/>
  <c r="F146" i="8"/>
  <c r="D387" i="8"/>
  <c r="G387" i="8" s="1"/>
  <c r="G385" i="8"/>
  <c r="F601" i="8"/>
  <c r="F635" i="8" s="1"/>
  <c r="G441" i="8"/>
  <c r="F441" i="8"/>
  <c r="G633" i="8"/>
  <c r="D635" i="8"/>
  <c r="G863" i="8"/>
  <c r="D865" i="8"/>
  <c r="G865" i="8" s="1"/>
  <c r="D854" i="8"/>
  <c r="G854" i="8" s="1"/>
  <c r="G615" i="8"/>
  <c r="G875" i="8"/>
  <c r="D877" i="8"/>
  <c r="G877" i="8" s="1"/>
  <c r="F362" i="8"/>
  <c r="F387" i="8" s="1"/>
  <c r="G601" i="8"/>
  <c r="F405" i="8"/>
  <c r="I228" i="8"/>
  <c r="G228" i="8"/>
  <c r="G717" i="8"/>
  <c r="D719" i="8"/>
  <c r="G719" i="8" s="1"/>
  <c r="F109" i="8"/>
  <c r="D453" i="8"/>
  <c r="G451" i="8"/>
  <c r="F451" i="8"/>
  <c r="D582" i="8"/>
  <c r="D583" i="8"/>
  <c r="D585" i="8"/>
  <c r="D580" i="8"/>
  <c r="D584" i="8"/>
  <c r="F34" i="3"/>
  <c r="F38" i="3" s="1"/>
  <c r="H34" i="3"/>
  <c r="G34" i="3"/>
  <c r="G38" i="3" s="1"/>
  <c r="G44" i="2"/>
  <c r="H33" i="2"/>
  <c r="H20" i="2"/>
  <c r="F453" i="8" l="1"/>
  <c r="F456" i="8" s="1"/>
  <c r="G453" i="8"/>
  <c r="D456" i="8"/>
  <c r="G456" i="8" s="1"/>
  <c r="D646" i="8"/>
  <c r="G646" i="8" s="1"/>
  <c r="G635" i="8"/>
  <c r="G45" i="2"/>
  <c r="H39" i="2"/>
  <c r="H27" i="2"/>
</calcChain>
</file>

<file path=xl/comments1.xml><?xml version="1.0" encoding="utf-8"?>
<comments xmlns="http://schemas.openxmlformats.org/spreadsheetml/2006/main">
  <authors>
    <author>Sorange Perez</author>
  </authors>
  <commentList>
    <comment ref="G38" authorId="0" shapeId="0">
      <text>
        <r>
          <rPr>
            <b/>
            <sz val="9"/>
            <color indexed="81"/>
            <rFont val="Tahoma"/>
            <family val="2"/>
          </rPr>
          <t>Sorange Perez:</t>
        </r>
        <r>
          <rPr>
            <sz val="9"/>
            <color indexed="81"/>
            <rFont val="Tahoma"/>
            <family val="2"/>
          </rPr>
          <t xml:space="preserve">
AJUSTE DE 0.58
</t>
        </r>
      </text>
    </comment>
  </commentList>
</comments>
</file>

<file path=xl/sharedStrings.xml><?xml version="1.0" encoding="utf-8"?>
<sst xmlns="http://schemas.openxmlformats.org/spreadsheetml/2006/main" count="839" uniqueCount="691">
  <si>
    <t>Total Pasivos y activos netos/patrimonio</t>
  </si>
  <si>
    <t>Total activos netos/patrimonio</t>
  </si>
  <si>
    <t xml:space="preserve">  Resultado acumulado (Nota 17)</t>
  </si>
  <si>
    <t>Resultados positivos (ahorro)/negativo (desahorro) NOTA 16</t>
  </si>
  <si>
    <t>Activos Netos/Patrimonio (Notas 16 y 17)</t>
  </si>
  <si>
    <t>Total pasivos</t>
  </si>
  <si>
    <t>Total pasivos no corrientes</t>
  </si>
  <si>
    <t xml:space="preserve"> Otros pasivos no corrientes (Nota 15)</t>
  </si>
  <si>
    <t>Pasivos no corrientes</t>
  </si>
  <si>
    <t>Total pasivos corrientes</t>
  </si>
  <si>
    <t>Otros pasivos corrientes (Nota 14)</t>
  </si>
  <si>
    <t xml:space="preserve">Retenciones y acumulaciones por pagar (Nota 13) </t>
  </si>
  <si>
    <t>Cuentas por pagar a corto plazo (Nota 12)</t>
  </si>
  <si>
    <t>Pasivos   Pasivos corrientes</t>
  </si>
  <si>
    <t>Total activos</t>
  </si>
  <si>
    <t>Total activos no corrientes</t>
  </si>
  <si>
    <t xml:space="preserve"> Activos intangibles (Nota 11)</t>
  </si>
  <si>
    <t>Propiedad, planta y equipo neto (Nota 10)</t>
  </si>
  <si>
    <t>Activos no corrientes</t>
  </si>
  <si>
    <t>Total activos corrientes</t>
  </si>
  <si>
    <t>A/P</t>
  </si>
  <si>
    <t xml:space="preserve"> Inventarios (Nota 9)</t>
  </si>
  <si>
    <t>Cuenta por cobrar a corto plazo (Notas 8)</t>
  </si>
  <si>
    <t>indicadores de liquidez</t>
  </si>
  <si>
    <t xml:space="preserve">Efectivo y equivalente de efectivo (Notas 7) </t>
  </si>
  <si>
    <t>Activos corrientes</t>
  </si>
  <si>
    <t>Activos</t>
  </si>
  <si>
    <t>Variación</t>
  </si>
  <si>
    <t>(Valores expresados en pesos dominicanos-RD$)</t>
  </si>
  <si>
    <t>ESTADO DE SITUACION FINANCIERA</t>
  </si>
  <si>
    <t>INCART</t>
  </si>
  <si>
    <t>INSTITUTO NACIONAL DEL CÁNCER ROSA EMILIA SÁNCHEZ PÉREZ DE TAVARES</t>
  </si>
  <si>
    <t>SERVICIO NACIONAL DE SALUD</t>
  </si>
  <si>
    <t>ESTADO DE RENDIMIENTO FINANCIERO</t>
  </si>
  <si>
    <t>VARIACION</t>
  </si>
  <si>
    <t>Ingresos (Notas 18,19,20)</t>
  </si>
  <si>
    <t>Ingresos por transacciones con contraprestación (Nota 18)</t>
  </si>
  <si>
    <t>Transferencias y donaciones (Nota 19)</t>
  </si>
  <si>
    <t>Recargos, multas y otros ingresos (Nota 20)</t>
  </si>
  <si>
    <t>Total ingresos</t>
  </si>
  <si>
    <t>Gastos Notas ,21,22,23,24,25,26</t>
  </si>
  <si>
    <t>Sueldos, salarios y beneficios a empleados (Nota 21)</t>
  </si>
  <si>
    <t>Subvención y otros pagos por transferencias  (22)</t>
  </si>
  <si>
    <t>Suministros y material para consumo (Nota 23)</t>
  </si>
  <si>
    <t>ok</t>
  </si>
  <si>
    <t>Gasto de depreciación y amortización (24)</t>
  </si>
  <si>
    <t>Otros gastos (Nota 25)</t>
  </si>
  <si>
    <t>Gastos financieros (26)</t>
  </si>
  <si>
    <t>Total gastos</t>
  </si>
  <si>
    <t>Ganancia (perdida) por diferencia cambiaria (27)</t>
  </si>
  <si>
    <t>Resultado del período (ahorro / desahorro)</t>
  </si>
  <si>
    <t>Nota:</t>
  </si>
  <si>
    <t>Las notas del 18 a la 27 son parte integral de este estado financieros.</t>
  </si>
  <si>
    <t>CAMBIO DE PATRIMONIO</t>
  </si>
  <si>
    <t>(Valores RD$)</t>
  </si>
  <si>
    <t>2022-2021</t>
  </si>
  <si>
    <t>Capital Aportado</t>
  </si>
  <si>
    <t>Cambios en Políticas Contables</t>
  </si>
  <si>
    <t>Revaluación</t>
  </si>
  <si>
    <t>Resultados Acumulados</t>
  </si>
  <si>
    <t>Total Activos Netos / Patrimonio</t>
  </si>
  <si>
    <t>Saldo al 31 de diciembre  de 2020</t>
  </si>
  <si>
    <t xml:space="preserve">Cambio en políticas contables </t>
  </si>
  <si>
    <t>Revaluación de Propiedad, planta y equipo</t>
  </si>
  <si>
    <t>Ajuste al patrimonio</t>
  </si>
  <si>
    <t>Resultado del período</t>
  </si>
  <si>
    <t xml:space="preserve">  -</t>
  </si>
  <si>
    <t>Saldo al 31 de Diciembre de 2020</t>
  </si>
  <si>
    <t>Efecto del gasto de depreciación de los activos revaluados</t>
  </si>
  <si>
    <t>Resultado del período 2021</t>
  </si>
  <si>
    <t>Saldo al 31 de Diciembre de 2021</t>
  </si>
  <si>
    <t>Saldo al 31 de diciembre de 2021</t>
  </si>
  <si>
    <t>FLUJO DE EFECTIVO al 31 de diciembre 2022</t>
  </si>
  <si>
    <t>Flujo de efectivo procedentes de actividades operativas</t>
  </si>
  <si>
    <t>Cobros por venta de bienes y servicios y arrendamientos</t>
  </si>
  <si>
    <t xml:space="preserve"> Cobros de subvenciones, transferencias, y otras asignaciones </t>
  </si>
  <si>
    <t>Apertura Caja Chica</t>
  </si>
  <si>
    <t>Cierre caja chica 2020</t>
  </si>
  <si>
    <t>Descuento por pronto pago</t>
  </si>
  <si>
    <t>Pagos a los trabajadores o en beneficio de ellos</t>
  </si>
  <si>
    <t xml:space="preserve">Pagos por contribuciones a la seguridad social </t>
  </si>
  <si>
    <t>Pagos a proveedores</t>
  </si>
  <si>
    <t>Flujos de efectivo netos de las actividades de operación</t>
  </si>
  <si>
    <t>Flujos de efectivo de las actividades de inversión</t>
  </si>
  <si>
    <t>Cobros por venta de propiedad, planta y equipo</t>
  </si>
  <si>
    <t>Cobros por venta de intangibles y otros activos de largo plazo</t>
  </si>
  <si>
    <t xml:space="preserve">Cobros por títulos patrimoniales o de deuda y participación en asociaciones </t>
  </si>
  <si>
    <t>Cobros por reembolsos de préstamos o anticipos hechos a terceros</t>
  </si>
  <si>
    <t xml:space="preserve">Cobros por conceptos de contratos a futuro, a plazo, opciones o permuta </t>
  </si>
  <si>
    <t>Otros cobros</t>
  </si>
  <si>
    <t>Pagos por adquisición de propiedad, planta y equipo</t>
  </si>
  <si>
    <t xml:space="preserve">Pagos por adquisición de intangibles y otros activos de largo plazo </t>
  </si>
  <si>
    <t>Pagos por adquisición de títulos patrimoniales o de deuda y participación en asociaciones</t>
  </si>
  <si>
    <t xml:space="preserve">Pagos por otorgamiento de préstamos o anticipos hechos a terceros </t>
  </si>
  <si>
    <t xml:space="preserve">Pagos por conceptos de contratos a futuro, a plazo, opciones o permuta </t>
  </si>
  <si>
    <t>Pagos por costos de construcciones y desarrollos en proceso</t>
  </si>
  <si>
    <t>Otros pagos</t>
  </si>
  <si>
    <t>Flujos de efectivo netos por las actividades de inversión</t>
  </si>
  <si>
    <t>Flujos de efectivo de las actividades de financiación</t>
  </si>
  <si>
    <t>Cobro por emisión de títulos de deudas, bonos</t>
  </si>
  <si>
    <t>Cobro por préstamos, pagarés, hipotecas</t>
  </si>
  <si>
    <t>Cobro por aporte de accionista</t>
  </si>
  <si>
    <t xml:space="preserve">Cobro de los arrendatarios por contratos de arrendamientos financieros </t>
  </si>
  <si>
    <t>Pago reembolso en efectivo de los montos recibidos en emisión de títulos de deudas, bonos</t>
  </si>
  <si>
    <t>Pago reembolso en efectivo de los montos recibidos en préstamos, pagarés, hipotecas</t>
  </si>
  <si>
    <t xml:space="preserve">Pago reembolso de efectivo recibió por aporte de accionista </t>
  </si>
  <si>
    <t>Pago por distribución/dividendos al gobierno</t>
  </si>
  <si>
    <t>Pago de los arrendatarios por contratos de arrendamientos financieros</t>
  </si>
  <si>
    <t xml:space="preserve"> Otros pagos</t>
  </si>
  <si>
    <t>Flujos de efectivo netos por las actividades de financiación</t>
  </si>
  <si>
    <t xml:space="preserve">Incremento/(Disminución) neta en el efectivo y equivalentes al efectivo </t>
  </si>
  <si>
    <t>Efectivo y equivalentes al efectivo al principio del periodo</t>
  </si>
  <si>
    <t>Efectivo y equivalentes al efectivo al final del periodo</t>
  </si>
  <si>
    <t>Concepto</t>
  </si>
  <si>
    <t>Otros ingresos</t>
  </si>
  <si>
    <t>NOTAS ESTADOS FINANCIEROS</t>
  </si>
  <si>
    <t>Nota #1 Entidad Económica</t>
  </si>
  <si>
    <t>Nota #2 Base de Presentación</t>
  </si>
  <si>
    <t>Los Estados Financieros han sido preparados de conformidad con las Normas Internacionales de Contabilidad del Sector Público (NICSP), adoptadas por la Dirección General de Contabilidad Gubernamental de la República Dominicana (Digecog).</t>
  </si>
  <si>
    <t>El Instituto Nacional del Cáncer (INCART) presenta su presupuesto aprobado según la base contable de efectivo y los Estados Financieros sobre  la base de acumulación (o devengo) conforme a las estipulaciones de las NICESP 24 “Presentación de Información del Presupuesto en los Estados Financieros”.</t>
  </si>
  <si>
    <t>El presupuesto se aprueba según la base contable de efectivo siguiendo una clasificación de pago por funciones. El presupuesto aprobado cubre el periodo fiscal que va desde el 1ro.,  de Enero  hasta el 31 de diciembre  2022  y es incluido como información suplementaria en los Estados Financieros y sus Notas.</t>
  </si>
  <si>
    <t>La emisión y aprobación final de los Estados Financieros es autorizada por el Director General.</t>
  </si>
  <si>
    <t>Nota #3 Moneda funcional y de presentación</t>
  </si>
  <si>
    <t>Los Estados Financieros están presentados en pesos dominicanos (RD$) moneda de curso legal en la República Dominicana.</t>
  </si>
  <si>
    <r>
      <t>Nota #4</t>
    </r>
    <r>
      <rPr>
        <sz val="14"/>
        <color theme="1"/>
        <rFont val="Verdana"/>
        <family val="2"/>
      </rPr>
      <t xml:space="preserve"> </t>
    </r>
    <r>
      <rPr>
        <b/>
        <sz val="14"/>
        <color theme="1"/>
        <rFont val="Verdana"/>
        <family val="2"/>
      </rPr>
      <t>Uso de Estimados y Juicios</t>
    </r>
  </si>
  <si>
    <t>La preparación de los estados financieros de conformidad con las NICSP, requiere que la administración realice juicios, estimaciones y supuestos que afectan la aplicación de las políticas contables y los montos de activos, pasivos, ingresos, y gastos reportados. Los resultados reales pueden diferir de estas estimaciones.</t>
  </si>
  <si>
    <t>El Incart realiza estimaciones de ingresos y gastos en el presupuesto, cuyos resultados pueden diferir de los reales, sin embargo, esto no afecta los registros contables.</t>
  </si>
  <si>
    <t>Nota #5 Base de medición</t>
  </si>
  <si>
    <t>Los Estados Financieros se elaboran sobre la base del costo histórico</t>
  </si>
  <si>
    <t xml:space="preserve">Los Estados Financieros, contienen o exponen  toda la información necesaria para expresar adecuadamente la situación económica-financiera, los recursos y gastos de la entidad económica de manera que los usuarios de la información puedan tomar las decisiones pertinentes.  </t>
  </si>
  <si>
    <t>Nota #6 Resumen de políticas Contables significativas</t>
  </si>
  <si>
    <t xml:space="preserve">A continuación detalle de todo lo relacionado con las principales políticas contables utilizadas por el Instituto Nacional del Cáncer (INCART), para la elaboración de los estados financieros al 31 diciembre 2021 y 2020, las cuales son consistentes con las Normas Internacionales de Contabilidad del Sector Público (NICSP) adoptadas por la Dirección General de Contabilidad Gubernamental de la República Dominicana (Digecog) </t>
  </si>
  <si>
    <t>Cuenta por Cobrar a corto plazo</t>
  </si>
  <si>
    <t>Las cuentas por cobrar a usuarios y las de Administradoras de Riesgos de Salud(ARSs) se registran al devengo, en el momento que se realiza la facturación, al cierre de cada mes se reconocen las cuentas por cobrar reclamadas, las que son recuperables en los próximos 30 a 90 días.</t>
  </si>
  <si>
    <t>Inventarios</t>
  </si>
  <si>
    <t>Los inventarios están compuestos por insumos y medicamentos disponibles para la venta y el consumo, materiales de oficina, alimentos, bebidas y útiles de cocina, materiales de limpieza y lavandería, Glp, Gasoil, Materiales impresos, registrados al costo de adquisición.  El método de valoración es el costo promedio ponderado.</t>
  </si>
  <si>
    <t>Se realiza un inventario trimestral para comprobar los saldos de las existencias, y una revisión constante de los insumos y medicamentos próximos a vencer.</t>
  </si>
  <si>
    <t>Propiedad, planta y equipo</t>
  </si>
  <si>
    <t>El mobiliario y equipo esta registrado al costo de adquisición.  El método de depreciación utilizado es el de línea recta, o sea, la distribución uniforme del costo sobre el estimado de vida útil de los activos sujetos a depreciación, considerando los porcentajes de depreciación de los activos del sector publico.</t>
  </si>
  <si>
    <t>Activos Intangibles</t>
  </si>
  <si>
    <t>Los activos intangibles lo componen, las fuentes de iridio(utilizadas para la aplicación de braquiterapia) y las licencias para sistemas informáticos. El registro se realiza por su valor de adquisición mas los gastos para la puesta en marcha.  El método de amortización utilizado es el lineal a un año.</t>
  </si>
  <si>
    <t>Cuentas por Pagar</t>
  </si>
  <si>
    <t>Las cuentas por pagar la componen, las cuentas por pagar a proveedores, retenciones y deducciones, provisiones y servicios(ingresos) cobrados por adelantado.</t>
  </si>
  <si>
    <t>Los pasivos en moneda extranjera se registran de acuerdo a la cotización de la moneda que se trata conforme a la emitida por el Banco Central.</t>
  </si>
  <si>
    <t>Ingresos y Gastos</t>
  </si>
  <si>
    <t>El Incart reconoce sus ingresos y gastos en base al método de lo devengado, tal como establecen las Normas de contabilidad aplicables al sector publico. Obtiene sus ingresos por la prestación de servicios y las donaciones recibidas sean estas corrientes y en naturaleza.</t>
  </si>
  <si>
    <t>Los gastos por cuentas incobrables se reconocen al momento que las ARSs glosan los servicios y se demuestra la incobrabilidad de la cuenta.</t>
  </si>
  <si>
    <t>Provisiones</t>
  </si>
  <si>
    <t>El Incart realiza provisiones mensuales de los siguientes gastos:</t>
  </si>
  <si>
    <t>Incentivos por pagar</t>
  </si>
  <si>
    <t>Corresponde a los incentivos pagados de forma semestral a empleados del INCART, cuyo registro se realiza mensual conforme a los ingresos percibidos de las ARSs, amortizando el gasto conforme se vaya originando el compromiso, permitiendo su identificación directa en el mes en que incurren.</t>
  </si>
  <si>
    <t>Regalía Pascual por pagar</t>
  </si>
  <si>
    <t>El gasto se registra cuando se reconoce, permitiendo su identificación directa en el mes en que incurre.</t>
  </si>
  <si>
    <t>Nota #7) Efectivo y equivalente de efectivo</t>
  </si>
  <si>
    <t>Un detalle del efectivo y equivalentes de efectivo al 31 de diciembre  2022 y  2021  es como sigue:</t>
  </si>
  <si>
    <t>%</t>
  </si>
  <si>
    <r>
      <t>Banco de Reservas Cta. Corriente</t>
    </r>
    <r>
      <rPr>
        <b/>
        <sz val="14"/>
        <color rgb="FF000000"/>
        <rFont val="Verdana"/>
        <family val="2"/>
      </rPr>
      <t xml:space="preserve"> Colectora  No.010-252753-9 </t>
    </r>
  </si>
  <si>
    <r>
      <t>Banco de Reservas Cta. Corriente</t>
    </r>
    <r>
      <rPr>
        <b/>
        <sz val="14"/>
        <color rgb="FF000000"/>
        <rFont val="Verdana"/>
        <family val="2"/>
      </rPr>
      <t xml:space="preserve"> Operativa  No. 160-112796-8 </t>
    </r>
  </si>
  <si>
    <r>
      <t>Banco de Reservas Cta. Tesorería</t>
    </r>
    <r>
      <rPr>
        <b/>
        <sz val="14"/>
        <color rgb="FF000000"/>
        <rFont val="Verdana"/>
        <family val="2"/>
      </rPr>
      <t xml:space="preserve"> Nomina No.0100202000 </t>
    </r>
  </si>
  <si>
    <t xml:space="preserve">Banco de Reservas Cta. Fondocyt No. 1-1-01-02-001-0006 </t>
  </si>
  <si>
    <t>Caja Chica</t>
  </si>
  <si>
    <t>Fondos Caja</t>
  </si>
  <si>
    <t>Total</t>
  </si>
  <si>
    <t>La Institución posee saldos de efectivo al 31 de diciembre 2022, por valor de RD$15,351,429 el cual presenta una disminución de un 38% en comparación al periodo 2022.</t>
  </si>
  <si>
    <t>El efectivo en Caja y bancos lo conforman los balances conciliados en las cuentas bancarias del Incart, más los fondos de Caja chica y Caja General.</t>
  </si>
  <si>
    <t>(7-1)  El saldo en banco, incluye RD$1,511,033.28, actividad MD Anderson, aporte de RD$1,000,000.00 del Banco Central para la construcción del muro del centro de urgencias. Aporte de RD$ 1,572,134.44 MESCYT (Proyecto De Investigacion: "Predicción Y Validació Epigenética De Firma Molecular De 27 Genes Asociados Respuesta Al Tratamiento Quimio Radioterapéutico Concomitante En Cáncer Cérvicouterino Localmente Avanzado) RD$ 56,849, Fondos Proyecto KINDLE; RD$ 389,023.94 proyecto Leucart; Reservas para pago de incentivos  RD$42,078,004.</t>
  </si>
  <si>
    <t>Confirmar si se mantiene para el mes de octubre</t>
  </si>
  <si>
    <t>NOTA #8) Cuentas y Documentos por Cobrar Corto Plazo</t>
  </si>
  <si>
    <r>
      <t xml:space="preserve">Cuentas por Cobrar ARS </t>
    </r>
    <r>
      <rPr>
        <b/>
        <sz val="14"/>
        <color rgb="FF000000"/>
        <rFont val="Verdana"/>
        <family val="2"/>
      </rPr>
      <t>(Anexo 1)</t>
    </r>
  </si>
  <si>
    <r>
      <t xml:space="preserve">Centro Ciclotron  </t>
    </r>
    <r>
      <rPr>
        <b/>
        <sz val="14"/>
        <color rgb="FF000000"/>
        <rFont val="Verdana"/>
        <family val="2"/>
      </rPr>
      <t>(Anexo 2)</t>
    </r>
  </si>
  <si>
    <r>
      <t xml:space="preserve">Cuentas por Cobrar Organizaciones de Ayuda a Usuarios </t>
    </r>
    <r>
      <rPr>
        <sz val="16"/>
        <color rgb="FF000000"/>
        <rFont val="Verdana"/>
        <family val="2"/>
      </rPr>
      <t xml:space="preserve"> </t>
    </r>
    <r>
      <rPr>
        <b/>
        <sz val="16"/>
        <color rgb="FF000000"/>
        <rFont val="Verdana"/>
        <family val="2"/>
      </rPr>
      <t>(Anexo 3)</t>
    </r>
  </si>
  <si>
    <t xml:space="preserve">Cuentas por Cobrar Usuarios </t>
  </si>
  <si>
    <t>Cuentas por Cobrar Suplidores (8-1)</t>
  </si>
  <si>
    <t>SV Suplidores Globales SRL</t>
  </si>
  <si>
    <t>Productos Jecar SRL</t>
  </si>
  <si>
    <t>Sub-total</t>
  </si>
  <si>
    <r>
      <t xml:space="preserve">Anticipos Suplidores </t>
    </r>
    <r>
      <rPr>
        <b/>
        <sz val="14"/>
        <color rgb="FF000000"/>
        <rFont val="Verdana"/>
        <family val="2"/>
      </rPr>
      <t>(8-2)</t>
    </r>
  </si>
  <si>
    <t>Cuentas por Cobrar Func. Y Empl</t>
  </si>
  <si>
    <r>
      <t xml:space="preserve">Cuentas por Cobrar Mac </t>
    </r>
    <r>
      <rPr>
        <b/>
        <sz val="14"/>
        <color rgb="FF000000"/>
        <rFont val="Verdana"/>
        <family val="2"/>
      </rPr>
      <t>(8-3)</t>
    </r>
  </si>
  <si>
    <t xml:space="preserve">Cuenta por Cobrar Alquiler Cafetería </t>
  </si>
  <si>
    <t>Un detalle de las cuentas por cobrar  al 31 de Diciembre 2022 es como sigue:</t>
  </si>
  <si>
    <t>Al cierre Mes las cuentas por cobrar es de RD$ 204,047,092.28  para un aumento de un 6%%, comparativo periodo 2021.</t>
  </si>
  <si>
    <t>Las Cuentas y Documentos por Cobrar están conformados por los servicios facturados a ARS y Usuarios, suplidores locales y anticipos a suplidores.</t>
  </si>
  <si>
    <r>
      <t xml:space="preserve">Cuentas por Cobrar ARS </t>
    </r>
    <r>
      <rPr>
        <b/>
        <sz val="11"/>
        <color rgb="FF000000"/>
        <rFont val="Verdana"/>
        <family val="2"/>
      </rPr>
      <t>(Anexo 1)</t>
    </r>
  </si>
  <si>
    <t>BALANCE CXC AL 31 DICIEMBRE 2022</t>
  </si>
  <si>
    <t>SEGURO</t>
  </si>
  <si>
    <t>MONTO</t>
  </si>
  <si>
    <t>Ars Aps</t>
  </si>
  <si>
    <t>Ars Grupo Medico Asociado (Gma)</t>
  </si>
  <si>
    <t>Ars Reservas</t>
  </si>
  <si>
    <t>Ars Cmd</t>
  </si>
  <si>
    <t>Ars Ffaa</t>
  </si>
  <si>
    <t>Ars Futuro</t>
  </si>
  <si>
    <t>Ars Humano</t>
  </si>
  <si>
    <t>Ars Meta Salud (Asistanet)</t>
  </si>
  <si>
    <t>Ars Mapfre (Palic)</t>
  </si>
  <si>
    <t>Ars Policia Nacional</t>
  </si>
  <si>
    <t>Ars Simag</t>
  </si>
  <si>
    <t>Ars Semunased</t>
  </si>
  <si>
    <t>Ars Senasa</t>
  </si>
  <si>
    <t>Ars Universal</t>
  </si>
  <si>
    <t>Ars Semma</t>
  </si>
  <si>
    <t>Ars Salud Segura</t>
  </si>
  <si>
    <t>Ministerio De Salud Publica</t>
  </si>
  <si>
    <t>Ars Yunen</t>
  </si>
  <si>
    <t>Ars Renacer</t>
  </si>
  <si>
    <t>Ars Amor Y Paz (Asemap)</t>
  </si>
  <si>
    <t>Ars Monumental</t>
  </si>
  <si>
    <t>Servicios Medicos Uasd</t>
  </si>
  <si>
    <t>Total CXC ARS</t>
  </si>
  <si>
    <r>
      <t xml:space="preserve">Centro Ciclotron  </t>
    </r>
    <r>
      <rPr>
        <b/>
        <sz val="10"/>
        <color rgb="FF000000"/>
        <rFont val="Verdana"/>
        <family val="2"/>
      </rPr>
      <t>(Anexo 2)</t>
    </r>
  </si>
  <si>
    <t>CENTRO DE CICLOTRON</t>
  </si>
  <si>
    <t>Centro Dianostico De Oncologia/Zt Doctor Villa Lama</t>
  </si>
  <si>
    <t>Cresa Peptp-Zt Peptp-Zt Peptp-Zt</t>
  </si>
  <si>
    <t>RED ONCOLÓGICA DOMINICANA INTEGRAL (RODI)</t>
  </si>
  <si>
    <t>Total CXC Centro Ciclotron</t>
  </si>
  <si>
    <r>
      <t xml:space="preserve">Cuentas por Cobrar Organizaciones de Ayuda a Usuarios  </t>
    </r>
    <r>
      <rPr>
        <b/>
        <sz val="10"/>
        <color rgb="FF000000"/>
        <rFont val="Verdana"/>
        <family val="2"/>
      </rPr>
      <t>(Anexo 3)</t>
    </r>
  </si>
  <si>
    <t>Organizaciones de ayuda a usuarios</t>
  </si>
  <si>
    <t>Monto</t>
  </si>
  <si>
    <t>Presidencia De La Republica Dom.</t>
  </si>
  <si>
    <t>Asoc. Mujeres Solidarias (Amsi)</t>
  </si>
  <si>
    <t>Fundacion St. Jude</t>
  </si>
  <si>
    <t>Fundacion Amigos Contra El Cancer Infantil</t>
  </si>
  <si>
    <t>Servicio Nacional De Salud (Sns)</t>
  </si>
  <si>
    <r>
      <rPr>
        <b/>
        <sz val="10"/>
        <color rgb="FF000000"/>
        <rFont val="Verdana"/>
        <family val="2"/>
      </rPr>
      <t>8-1)</t>
    </r>
    <r>
      <rPr>
        <sz val="10"/>
        <color rgb="FF000000"/>
        <rFont val="Verdana"/>
        <family val="2"/>
      </rPr>
      <t xml:space="preserve"> Las cuentas por cobrar de SV Suplidores Globales y Productos Jecar, corresponde a pagos anticipados para compras de</t>
    </r>
  </si>
  <si>
    <t>Insumos y medicamentos, no recibidos por la cantidad expresada en el balance, correspondiente al año 2014.</t>
  </si>
  <si>
    <r>
      <rPr>
        <b/>
        <sz val="10"/>
        <color rgb="FF000000"/>
        <rFont val="Verdana"/>
        <family val="2"/>
      </rPr>
      <t xml:space="preserve">8-2) </t>
    </r>
    <r>
      <rPr>
        <sz val="10"/>
        <color rgb="FF000000"/>
        <rFont val="Verdana"/>
        <family val="2"/>
      </rPr>
      <t>Incluye RD$30,000 deposito farmacia Carol, y 31,311.49 20% anticipo proveedor Puradom.</t>
    </r>
  </si>
  <si>
    <r>
      <rPr>
        <b/>
        <sz val="10"/>
        <color rgb="FF000000"/>
        <rFont val="Verdana"/>
        <family val="2"/>
      </rPr>
      <t>8-3)</t>
    </r>
    <r>
      <rPr>
        <sz val="10"/>
        <color rgb="FF000000"/>
        <rFont val="Verdana"/>
        <family val="2"/>
      </rPr>
      <t xml:space="preserve"> Las Cuentas por cobrar Ministerio Alto Costo (MAC), corresponde a los servicios prestados a pacientes del programa.</t>
    </r>
  </si>
  <si>
    <t>protegidos del Ministerio de Salud Pública.</t>
  </si>
  <si>
    <t>Nota #9) Inventarios</t>
  </si>
  <si>
    <t>Un detalle de las partidas de inventario al 30 de junio 2022 y  2021  es como sigue:</t>
  </si>
  <si>
    <t>Inv. Alimentos Y Bebidas</t>
  </si>
  <si>
    <t>Inv. De Insumos De Laboratorio</t>
  </si>
  <si>
    <t>Inv. De Medicamentos En General</t>
  </si>
  <si>
    <t>Inv. Insumos Médicos Y Mat. Gastables Hospitalarios</t>
  </si>
  <si>
    <t>Inv. Medicamentos Citostaticos</t>
  </si>
  <si>
    <t>Inv. Medicamentos Controlados</t>
  </si>
  <si>
    <t>Inv. Materiales De Limpieza</t>
  </si>
  <si>
    <t>Inv. Materiales De Lavandería</t>
  </si>
  <si>
    <t>Inv. Glp</t>
  </si>
  <si>
    <t>Inv. Materiales De Oficina</t>
  </si>
  <si>
    <t>Inv. Gas Oíl</t>
  </si>
  <si>
    <t>Inv. Materiales Impresos</t>
  </si>
  <si>
    <t>Inventario Útiles De Cocina Y Comedor</t>
  </si>
  <si>
    <t>Inv. Materiales E Insumos Ciclotrón</t>
  </si>
  <si>
    <t xml:space="preserve">Los inventarios son registrados al costo, bajo el método de sistema permanente, el método de valuación es el del costo </t>
  </si>
  <si>
    <t>promedio.</t>
  </si>
  <si>
    <t>El consumo del inventario se registra con la venta y consumo interno de los productos.</t>
  </si>
  <si>
    <t>El inventario presentando es por un Valor total RD$101,542,099 presenta un aumento de un  14% comparado con el periodo del  2021.</t>
  </si>
  <si>
    <t>Nota #10)Propiedad, planta y equipo neto (Anexo 5)</t>
  </si>
  <si>
    <t>Un detalle de las partidas Propiedad, planta y equipo netos al 31 de diciembre 2022 y 2021 es como sigue:</t>
  </si>
  <si>
    <t>Mobiliarios y equipos</t>
  </si>
  <si>
    <t>Equipos Medicos</t>
  </si>
  <si>
    <t>Maquinarias, otros equipos y Herramientas</t>
  </si>
  <si>
    <t>Costo de Adquisición 2021</t>
  </si>
  <si>
    <t>Adiciones 2022</t>
  </si>
  <si>
    <t>Saldo al final Periodo 2022</t>
  </si>
  <si>
    <t>Depreciación Acumulada Al inicio del periodo</t>
  </si>
  <si>
    <t>Cargo de la depreciacion del Periodo 2022</t>
  </si>
  <si>
    <t>Saldo al final del periodo</t>
  </si>
  <si>
    <t>Propiedad, Planta y Equipo Neto 2022</t>
  </si>
  <si>
    <t xml:space="preserve">Activos </t>
  </si>
  <si>
    <t>Montos</t>
  </si>
  <si>
    <t xml:space="preserve"> Activimetro Calibrador De Dosis  </t>
  </si>
  <si>
    <t xml:space="preserve"> Aire Para Cuarto Frio Completo </t>
  </si>
  <si>
    <t xml:space="preserve"> Archivo 4 Gavetas Metal 25*18.8*52 </t>
  </si>
  <si>
    <t xml:space="preserve"> Archivo De 3 Gaveta Amarillo </t>
  </si>
  <si>
    <t xml:space="preserve"> Archivo De 3 Gavetas Gris  </t>
  </si>
  <si>
    <t xml:space="preserve"> Audifono De Digitacion </t>
  </si>
  <si>
    <t xml:space="preserve"> Bebedero  </t>
  </si>
  <si>
    <t xml:space="preserve"> Bomba De Circulacion De Agua Caliente 3hp </t>
  </si>
  <si>
    <t xml:space="preserve"> Bomba De Drenaje Para Aire Condicionado 120vac </t>
  </si>
  <si>
    <t xml:space="preserve"> Bomba De Drenaje Para Aire Condicionado 220vac </t>
  </si>
  <si>
    <t xml:space="preserve"> Caladora Black &amp; Decker </t>
  </si>
  <si>
    <t xml:space="preserve"> Cama De Posicion  </t>
  </si>
  <si>
    <t xml:space="preserve"> Cama De Transporte De Pacientes </t>
  </si>
  <si>
    <t xml:space="preserve"> Camarote Con Su Colchon </t>
  </si>
  <si>
    <t xml:space="preserve"> Camilla Divan Para Examen  </t>
  </si>
  <si>
    <t xml:space="preserve"> Camilla Ginecologia </t>
  </si>
  <si>
    <t xml:space="preserve"> Carro De Carga Con Plataforma </t>
  </si>
  <si>
    <t xml:space="preserve"> Carro Transporte De Termos </t>
  </si>
  <si>
    <t xml:space="preserve"> Central De Monitoreo </t>
  </si>
  <si>
    <t xml:space="preserve"> Compresor De Aire Comprimido De 80 Gls. </t>
  </si>
  <si>
    <t xml:space="preserve"> Computador Completo (Cpu, Monitor, Teclado) </t>
  </si>
  <si>
    <t xml:space="preserve"> Cortina De Aire De 3 Pies </t>
  </si>
  <si>
    <t xml:space="preserve"> Detector De Radiacion  </t>
  </si>
  <si>
    <t xml:space="preserve"> Electrocardiografo </t>
  </si>
  <si>
    <t xml:space="preserve"> Escaner  </t>
  </si>
  <si>
    <t xml:space="preserve"> Escaner De Diapositiva Digital  </t>
  </si>
  <si>
    <t xml:space="preserve"> Escritorio De Formika Amarillo </t>
  </si>
  <si>
    <t xml:space="preserve"> Escritorio Gris  </t>
  </si>
  <si>
    <t xml:space="preserve"> Escritorio Gris Tipo L </t>
  </si>
  <si>
    <t xml:space="preserve"> Esfignomanometro </t>
  </si>
  <si>
    <t xml:space="preserve"> Estacion Modular Tipo Cubiculo 1 Mt*1.55 Mt </t>
  </si>
  <si>
    <t xml:space="preserve"> Estacion Modular Tipo Cubiculo 1.00 Mt*1.00 Mt </t>
  </si>
  <si>
    <t xml:space="preserve"> Extractor De Aire De Linea  </t>
  </si>
  <si>
    <t xml:space="preserve"> Fantoma De Mamografia Digital </t>
  </si>
  <si>
    <t xml:space="preserve"> Fantoma De Rendimiento </t>
  </si>
  <si>
    <t xml:space="preserve"> Hemo Mixer Marca Biobase </t>
  </si>
  <si>
    <t xml:space="preserve"> Hidrolavadora </t>
  </si>
  <si>
    <t xml:space="preserve"> Impresora De Etiquetas + Accesorios </t>
  </si>
  <si>
    <t xml:space="preserve"> Intercambiadores Ionico / Para Sum. De Agua  </t>
  </si>
  <si>
    <t xml:space="preserve"> Laptop Hp 15.6 , 512gb, 16gb </t>
  </si>
  <si>
    <t xml:space="preserve"> Laringoscopio  </t>
  </si>
  <si>
    <t xml:space="preserve"> Lector De Barra Para Codigo </t>
  </si>
  <si>
    <t xml:space="preserve"> Locker De 12 Puertas O Gavetas </t>
  </si>
  <si>
    <t xml:space="preserve"> Locker De 6 Puertas O Gavetas </t>
  </si>
  <si>
    <t xml:space="preserve"> Maquina De Soldar Juba 200amp.110/220v </t>
  </si>
  <si>
    <t xml:space="preserve"> Mesa De Noche Para Habitacion Azul Y Blanca </t>
  </si>
  <si>
    <t xml:space="preserve"> Mesa Rectangular Plegable </t>
  </si>
  <si>
    <t xml:space="preserve"> Microondas </t>
  </si>
  <si>
    <t xml:space="preserve"> Microscopio </t>
  </si>
  <si>
    <t xml:space="preserve"> Monitor De Signos Vitales </t>
  </si>
  <si>
    <t xml:space="preserve"> Nevera 10 Pies </t>
  </si>
  <si>
    <t xml:space="preserve"> Nevera Exhibidor Gsr Una Puerta Transparente </t>
  </si>
  <si>
    <t xml:space="preserve"> Nevera Mabe 14 Pies </t>
  </si>
  <si>
    <t xml:space="preserve"> Pedal De Digitacion  </t>
  </si>
  <si>
    <t xml:space="preserve"> Pie De Camilla  (Escalera) </t>
  </si>
  <si>
    <t xml:space="preserve"> Pulidora Black &amp; Decker </t>
  </si>
  <si>
    <t xml:space="preserve"> Silla De Rueda </t>
  </si>
  <si>
    <t xml:space="preserve"> Silla De Rueda Advantage Everest Lx </t>
  </si>
  <si>
    <t xml:space="preserve"> Silla De Rueda Estándar </t>
  </si>
  <si>
    <t xml:space="preserve"> Silla De Ruedas </t>
  </si>
  <si>
    <t xml:space="preserve"> Silla De Ruedas Estandar En Acero Cromado </t>
  </si>
  <si>
    <t xml:space="preserve"> Silla Ejecutiva Secretarial </t>
  </si>
  <si>
    <t xml:space="preserve"> Silla Fijas Estructura Metalicas Color Negro </t>
  </si>
  <si>
    <t xml:space="preserve"> Silla Secretarial C/Respaldo Lumbar </t>
  </si>
  <si>
    <t xml:space="preserve"> Silla Secretarial Tapizado En Vinil O Piel Sintetica </t>
  </si>
  <si>
    <t xml:space="preserve"> Sillon Reclinable Tres Posiciones </t>
  </si>
  <si>
    <t xml:space="preserve"> Sillon Semi-Ejecutivo Respaldo En Malla </t>
  </si>
  <si>
    <t xml:space="preserve"> Sllon Raymon Ejecutivo </t>
  </si>
  <si>
    <t xml:space="preserve"> Televisor Tcl 4k Smart </t>
  </si>
  <si>
    <t xml:space="preserve"> Trituradora De Papel Electrica </t>
  </si>
  <si>
    <t xml:space="preserve"> Ups </t>
  </si>
  <si>
    <t xml:space="preserve"> Vitrina Para Medicamento </t>
  </si>
  <si>
    <t xml:space="preserve"> Xh-B Vortex </t>
  </si>
  <si>
    <t xml:space="preserve"> Total General </t>
  </si>
  <si>
    <r>
      <rPr>
        <b/>
        <sz val="14"/>
        <color rgb="FF000000"/>
        <rFont val="Verdana"/>
        <family val="2"/>
      </rPr>
      <t>1-</t>
    </r>
    <r>
      <rPr>
        <sz val="14"/>
        <color rgb="FF000000"/>
        <rFont val="Verdana"/>
        <family val="2"/>
      </rPr>
      <t xml:space="preserve"> El total de activos fijos al cierre del 31 de diciembre 2022  asciende a RD$18,351,802.14 Según su valor en libro.</t>
    </r>
  </si>
  <si>
    <r>
      <rPr>
        <b/>
        <sz val="14"/>
        <color rgb="FF000000"/>
        <rFont val="Verdana"/>
        <family val="2"/>
      </rPr>
      <t xml:space="preserve">2- </t>
    </r>
    <r>
      <rPr>
        <sz val="14"/>
        <color rgb="FF000000"/>
        <rFont val="Verdana"/>
        <family val="2"/>
      </rPr>
      <t>Al 31 de diciembre no se presentan bienes inmuebles y bienes en proceso.</t>
    </r>
  </si>
  <si>
    <r>
      <rPr>
        <b/>
        <sz val="14"/>
        <color rgb="FF000000"/>
        <rFont val="Verdana"/>
        <family val="2"/>
      </rPr>
      <t>3-</t>
    </r>
    <r>
      <rPr>
        <sz val="14"/>
        <color rgb="FF000000"/>
        <rFont val="Verdana"/>
        <family val="2"/>
      </rPr>
      <t xml:space="preserve"> La depreciación se aplica a fin de amortizar el costo total de los activos fijos, el método utilizado es el  lineal, la depreciación es aplicada basada en la tabla de depreciación para las instituciones públicas.</t>
    </r>
  </si>
  <si>
    <t xml:space="preserve">Nota #12)Cuentas por pagar a corto plazo </t>
  </si>
  <si>
    <t xml:space="preserve">Cuentas por pagar proveedores  </t>
  </si>
  <si>
    <t>Las cuentas por Pagar a proveedores locales, ascienden a RD$102,422,855,muestra una disminucion de un 48% en comparacion al periodo anterior. La conforman los compromisos adquiridos por la compra de bienes(Insumos, medicamentos, otros) y servicios del INCART (en el archivo de ingreso se encuentran el detalle )</t>
  </si>
  <si>
    <t>Nota #13)Retenciones y acumulaciones por pagar</t>
  </si>
  <si>
    <t>Un detalle de las partidas  del gastos al personal por pagar al 31 de diciembre 2022 y 2021 es como sigue:</t>
  </si>
  <si>
    <t>13-1)Gastos de Personal por Pagar</t>
  </si>
  <si>
    <r>
      <t xml:space="preserve">Regalía Pascual por Pagar </t>
    </r>
    <r>
      <rPr>
        <b/>
        <sz val="16"/>
        <color theme="1"/>
        <rFont val="Verdana"/>
        <family val="2"/>
      </rPr>
      <t>(13-1-1)</t>
    </r>
  </si>
  <si>
    <r>
      <t xml:space="preserve">Incentivos 10% SeNaSa por Pagar </t>
    </r>
    <r>
      <rPr>
        <b/>
        <sz val="14"/>
        <color theme="1"/>
        <rFont val="Verdana"/>
        <family val="2"/>
      </rPr>
      <t>(13-1-2)</t>
    </r>
  </si>
  <si>
    <t>Contribuciones Al Seguro De Pensiones Por Pagar</t>
  </si>
  <si>
    <t>Contribuciones Al Seguro De Riesgo Laboral Por Pagar</t>
  </si>
  <si>
    <t>Contribuciones Al Seguro De Salud Por Pagar</t>
  </si>
  <si>
    <t>Sueldo a medico por pagar</t>
  </si>
  <si>
    <t>Sueldo fijos por pagar</t>
  </si>
  <si>
    <r>
      <t xml:space="preserve">Sueldos Vententuales Fijos Por Pagar </t>
    </r>
    <r>
      <rPr>
        <b/>
        <sz val="14"/>
        <color theme="1"/>
        <rFont val="Verdana"/>
        <family val="2"/>
      </rPr>
      <t>(13-1-3)</t>
    </r>
  </si>
  <si>
    <r>
      <t xml:space="preserve">Sueldos Eventuales Medicos Por Pagar </t>
    </r>
    <r>
      <rPr>
        <b/>
        <sz val="14"/>
        <color theme="1"/>
        <rFont val="Verdana"/>
        <family val="2"/>
      </rPr>
      <t>(13-1-4)</t>
    </r>
  </si>
  <si>
    <t>Sueldos Temporeros Fijos Por Pagar</t>
  </si>
  <si>
    <t>Sueldos Temporeros Medicos Por Pagar</t>
  </si>
  <si>
    <t>Un detalle de las partidas  del gastos al personal por pagar  al 31 de diciembre 2022  es como sigue:</t>
  </si>
  <si>
    <r>
      <rPr>
        <b/>
        <sz val="14"/>
        <rFont val="Verdana"/>
        <family val="2"/>
      </rPr>
      <t>(13-1-1)</t>
    </r>
    <r>
      <rPr>
        <sz val="14"/>
        <rFont val="Verdana"/>
        <family val="2"/>
      </rPr>
      <t xml:space="preserve"> El 5 de diciembre 2022, fueron ejecutados los pagos de la regalia periodo 2022.</t>
    </r>
  </si>
  <si>
    <r>
      <rPr>
        <b/>
        <sz val="14"/>
        <rFont val="Verdana"/>
        <family val="2"/>
      </rPr>
      <t>(13-1-2)</t>
    </r>
    <r>
      <rPr>
        <sz val="14"/>
        <rFont val="Verdana"/>
        <family val="2"/>
      </rPr>
      <t xml:space="preserve"> Estos gastos de personal por  pagar incluyen: Los incentivos pendiente de pagar a los empleados correspondiente al periodo julio-diciembre 2022.</t>
    </r>
  </si>
  <si>
    <t xml:space="preserve">Itbis 100% Retenido Por Pagar </t>
  </si>
  <si>
    <t xml:space="preserve">Itbis 30% Retenido Por Pagar </t>
  </si>
  <si>
    <t>Itbis 30% Retenido Por Pagar-Fondocyt</t>
  </si>
  <si>
    <t xml:space="preserve">Retención 5% Compra De Bienes Y Servicios </t>
  </si>
  <si>
    <t>Retención 5% Compra De Bienes Y Servicios-Fondocyt</t>
  </si>
  <si>
    <t>Retención Inavi Por Pagar</t>
  </si>
  <si>
    <t xml:space="preserve">Retención Isr A Personas Físicas </t>
  </si>
  <si>
    <t>Retención Isr A Personas Físicas -Fondocyt</t>
  </si>
  <si>
    <t>Retención Isr Salarial Por Pagar</t>
  </si>
  <si>
    <t>Retenciones Seguro Complementario Por Pagar</t>
  </si>
  <si>
    <t>Retención Servicio De Cafetería</t>
  </si>
  <si>
    <t>Retenciones Seguro De Salud Por Pagar</t>
  </si>
  <si>
    <t>Retenciones Seguro De Pensión Por Pagar</t>
  </si>
  <si>
    <t>Retenciones Isr al Exterior</t>
  </si>
  <si>
    <t>Total Retenciones y acumulaciones por pagar</t>
  </si>
  <si>
    <t>Nota #14) Otros pasivos corrientes</t>
  </si>
  <si>
    <t>Un detalle de otros pasivos corrientes al 31 de diciembre 2022 y 2021 es como sigue:</t>
  </si>
  <si>
    <r>
      <t>Cuentas por pagar ministerio de salud farmacia alto costo</t>
    </r>
    <r>
      <rPr>
        <b/>
        <sz val="14"/>
        <color theme="1"/>
        <rFont val="Verdana"/>
        <family val="2"/>
      </rPr>
      <t>(14-1)</t>
    </r>
  </si>
  <si>
    <r>
      <t>Provisión para pago de prestaciones laborales</t>
    </r>
    <r>
      <rPr>
        <b/>
        <sz val="14"/>
        <color theme="1"/>
        <rFont val="Verdana"/>
        <family val="2"/>
      </rPr>
      <t>(14-2)</t>
    </r>
  </si>
  <si>
    <r>
      <t xml:space="preserve">Provisión para pago de vacaciones </t>
    </r>
    <r>
      <rPr>
        <b/>
        <sz val="14"/>
        <color theme="1"/>
        <rFont val="Verdana"/>
        <family val="2"/>
      </rPr>
      <t>(14-3)</t>
    </r>
  </si>
  <si>
    <t xml:space="preserve">Cuentas por Pagar Empleado </t>
  </si>
  <si>
    <t>Reingreso cheques nulos</t>
  </si>
  <si>
    <t>Caja chica por reponer</t>
  </si>
  <si>
    <r>
      <t xml:space="preserve">Otras cuentas por pagar Inst. Financieras </t>
    </r>
    <r>
      <rPr>
        <b/>
        <sz val="14"/>
        <color theme="1"/>
        <rFont val="Verdana"/>
        <family val="2"/>
      </rPr>
      <t>(14-4)</t>
    </r>
  </si>
  <si>
    <t>Otras Cuenta Por Pagar Sector Privado</t>
  </si>
  <si>
    <t>Total Otras Cuentas por Pagar</t>
  </si>
  <si>
    <r>
      <rPr>
        <b/>
        <sz val="14"/>
        <color theme="1"/>
        <rFont val="Verdana"/>
        <family val="2"/>
      </rPr>
      <t xml:space="preserve">14-1 </t>
    </r>
    <r>
      <rPr>
        <sz val="14"/>
        <color theme="1"/>
        <rFont val="Verdana"/>
        <family val="2"/>
      </rPr>
      <t xml:space="preserve"> Este monto corresponde a medicamentos citostaticos facilitados al INCART en calidad de préstamo por la Farmacia de Alto Costo.</t>
    </r>
  </si>
  <si>
    <r>
      <rPr>
        <b/>
        <sz val="14"/>
        <color theme="1"/>
        <rFont val="Verdana"/>
        <family val="2"/>
      </rPr>
      <t>14-2</t>
    </r>
    <r>
      <rPr>
        <sz val="14"/>
        <color theme="1"/>
        <rFont val="Verdana"/>
        <family val="2"/>
      </rPr>
      <t xml:space="preserve"> Corresponde a provisión de los compromisos pendientes de pago por concepto de las Desvinculaciones.</t>
    </r>
  </si>
  <si>
    <r>
      <rPr>
        <b/>
        <sz val="14"/>
        <rFont val="Verdana"/>
        <family val="2"/>
      </rPr>
      <t>14-3</t>
    </r>
    <r>
      <rPr>
        <sz val="14"/>
        <rFont val="Verdana"/>
        <family val="2"/>
      </rPr>
      <t xml:space="preserve"> Corresponde a provisión de los compromisos pendientes de pago por concepto de las Vacaciones</t>
    </r>
  </si>
  <si>
    <r>
      <rPr>
        <b/>
        <sz val="14"/>
        <rFont val="Verdana"/>
        <family val="2"/>
      </rPr>
      <t>14-4</t>
    </r>
    <r>
      <rPr>
        <sz val="14"/>
        <rFont val="Verdana"/>
        <family val="2"/>
      </rPr>
      <t xml:space="preserve"> Corresponde deuda generada por impuestos años anteriores (IR-3 E IR-17) 2015-2016</t>
    </r>
  </si>
  <si>
    <t>Un detalle de otros pasivos no  corrientes al 31 de diciembre de 2022 y 2021 es como sigue:</t>
  </si>
  <si>
    <t>Nota #15) Otros Pasivos No corrientes (Anexo 6)</t>
  </si>
  <si>
    <t>Servicios Cobrados por Adelantado</t>
  </si>
  <si>
    <t xml:space="preserve">El valor RD$ 8,466,776 corresponde a depósitos de pacientes  por Servicios Cobrados por Adelanto.  </t>
  </si>
  <si>
    <t>Nota #16) Resultados positivos (ahorro)/negativo (desahorro) Resultado acumulado</t>
  </si>
  <si>
    <t>Un detalle del Resultados positivos (ahorro)/negativo (desahorro) Resultado acumulado al 31 de diciembre 2022 y 2021 es como sigue:</t>
  </si>
  <si>
    <t>Resultado Ejercicios anteriores</t>
  </si>
  <si>
    <t>Ajustes años anteriores</t>
  </si>
  <si>
    <t>Resultado del Ejercicio periodo</t>
  </si>
  <si>
    <t>Total resultado acumulado</t>
  </si>
  <si>
    <t>Nota #17) activo Neto Patrimonio</t>
  </si>
  <si>
    <t>Un detalle del activo neto Patrimonio  al 31 de diciembre 2022 y 2021  es como sigue:</t>
  </si>
  <si>
    <t>Total  Activos netos/ Patrimonio</t>
  </si>
  <si>
    <t>ESTADO DE RESULTADOS</t>
  </si>
  <si>
    <t>Nota #18) Ingresos por transacciones con contraprestación</t>
  </si>
  <si>
    <t>Un detalle de los ingresos por transacciones con contraprestaciónal 31 de diciembre 2022 y 2021 es como sigue:</t>
  </si>
  <si>
    <t>Los ingresos son registrados al devengo e incluye ingresos por Consultas, Laboratorios, Procedimientos , Hospitalización y venta de medicamentos.</t>
  </si>
  <si>
    <t>CENTROS DE SERVICIOS</t>
  </si>
  <si>
    <t>2021</t>
  </si>
  <si>
    <t>Centro De Anatomía Patológica</t>
  </si>
  <si>
    <t xml:space="preserve">Centro de Banco De  Sangre </t>
  </si>
  <si>
    <t>Centro De Hospital De Día</t>
  </si>
  <si>
    <t>Centro de Hospitalización</t>
  </si>
  <si>
    <t>Centro De Imagen</t>
  </si>
  <si>
    <t>Centro De Laboratorio Clínico</t>
  </si>
  <si>
    <t>Insumos Médicos y Material Gastable Hospitalario</t>
  </si>
  <si>
    <t>Centro De Medicina Interna Y Especialidades</t>
  </si>
  <si>
    <t>Centro De Oncología Medica</t>
  </si>
  <si>
    <t>Centro De Radiooncologia</t>
  </si>
  <si>
    <t>Centro De Urgencias</t>
  </si>
  <si>
    <t>Centro Quirúrgico</t>
  </si>
  <si>
    <t>Centro de Farmacia</t>
  </si>
  <si>
    <t>Centro Ciclotrón</t>
  </si>
  <si>
    <t>Centro de Odontologia</t>
  </si>
  <si>
    <t>Total Ingresos por transacciones con contraprestación</t>
  </si>
  <si>
    <t>Nota #19)Transferencias y Donaciones</t>
  </si>
  <si>
    <t>Un detalle de los ingresos por transferencias y donaciones al 31 de diciembre 2022 y 2021 es como siguee:</t>
  </si>
  <si>
    <r>
      <t xml:space="preserve">Asignación Presupuestal Gobierno Central  </t>
    </r>
    <r>
      <rPr>
        <b/>
        <sz val="14"/>
        <color theme="1"/>
        <rFont val="Verdana"/>
        <family val="2"/>
      </rPr>
      <t>(19-1)</t>
    </r>
  </si>
  <si>
    <r>
      <t xml:space="preserve">Donaciones en Naturaleza Otras Instituciones Privadas </t>
    </r>
    <r>
      <rPr>
        <b/>
        <sz val="14"/>
        <color theme="1"/>
        <rFont val="Verdana"/>
        <family val="2"/>
      </rPr>
      <t>(19-2)</t>
    </r>
  </si>
  <si>
    <t>Donaciones en Efectivo Otras Instituciones Privadas</t>
  </si>
  <si>
    <r>
      <t xml:space="preserve">Donaciones en Naturaleza Otras Instituciones Públicas </t>
    </r>
    <r>
      <rPr>
        <b/>
        <sz val="14"/>
        <color theme="1"/>
        <rFont val="Verdana"/>
        <family val="2"/>
      </rPr>
      <t>(19-3)</t>
    </r>
  </si>
  <si>
    <t>Donaciones en Efectivo Otras Instituciones Públicas</t>
  </si>
  <si>
    <r>
      <t xml:space="preserve">Donaciones Corrientes De Instituciones Gubernamentales </t>
    </r>
    <r>
      <rPr>
        <b/>
        <sz val="14"/>
        <color rgb="FF000000"/>
        <rFont val="Verdana"/>
        <family val="2"/>
      </rPr>
      <t>(19-4)</t>
    </r>
  </si>
  <si>
    <r>
      <rPr>
        <b/>
        <sz val="14"/>
        <color rgb="FF000000"/>
        <rFont val="Verdana"/>
        <family val="2"/>
      </rPr>
      <t>(19-1-)</t>
    </r>
    <r>
      <rPr>
        <sz val="14"/>
        <color rgb="FF000000"/>
        <rFont val="Verdana"/>
        <family val="2"/>
      </rPr>
      <t xml:space="preserve">  Corresponde a la Asignación Presupuestal Gobierno Central , para pago de Nóminas Sigef y proyecto Ciclotrón.</t>
    </r>
  </si>
  <si>
    <r>
      <rPr>
        <b/>
        <sz val="14"/>
        <color rgb="FF000000"/>
        <rFont val="Verdana"/>
        <family val="2"/>
      </rPr>
      <t>(19-2-)</t>
    </r>
    <r>
      <rPr>
        <sz val="14"/>
        <color rgb="FF000000"/>
        <rFont val="Verdana"/>
        <family val="2"/>
      </rPr>
      <t xml:space="preserve">  Corresponde a donaciones de instituciones privadas y Sobrantes , incluye:</t>
    </r>
  </si>
  <si>
    <t>Donaciones de instituciones privadas y Sobrantes de enero- diciembre 2022 , incluye:</t>
  </si>
  <si>
    <t>Donacion de medicamentos</t>
  </si>
  <si>
    <t>Donacion sobrantes de dispensacion de Farmacia suministro</t>
  </si>
  <si>
    <t>Donacion sobrantes de imágenes</t>
  </si>
  <si>
    <t xml:space="preserve">Donacion Central De Mezcla </t>
  </si>
  <si>
    <t>Donaciones pacientes</t>
  </si>
  <si>
    <r>
      <rPr>
        <b/>
        <sz val="14"/>
        <color rgb="FF000000"/>
        <rFont val="Verdana"/>
        <family val="2"/>
      </rPr>
      <t>(19-3-)</t>
    </r>
    <r>
      <rPr>
        <sz val="14"/>
        <color rgb="FF000000"/>
        <rFont val="Verdana"/>
        <family val="2"/>
      </rPr>
      <t xml:space="preserve">  Corresponde a donaciones de instituciones publicas  , incluye:</t>
    </r>
  </si>
  <si>
    <t>Donaciones de instituciones publicas , incluye:</t>
  </si>
  <si>
    <t xml:space="preserve"> Donaciones De  SNS</t>
  </si>
  <si>
    <t xml:space="preserve"> Donaciones De Medicamentos Materno Infantil </t>
  </si>
  <si>
    <t xml:space="preserve"> Donaciones De Medicamentos Promeses Cal </t>
  </si>
  <si>
    <t xml:space="preserve"> Donaciones De Ministerio Salud Publica Noviembre 2022 </t>
  </si>
  <si>
    <t xml:space="preserve"> Donaciones Del Hospital De Mata Hambre </t>
  </si>
  <si>
    <t xml:space="preserve"> Donaciones Despacho Primera Dama Noviembre 2022 </t>
  </si>
  <si>
    <t>Donaciones Hospital Robert Reid</t>
  </si>
  <si>
    <t>Donaciones Hospital del Almirante</t>
  </si>
  <si>
    <t>Donaciones Hospital de la Mujer Dominicana</t>
  </si>
  <si>
    <t>Donaciones Hospital Luis Aybar</t>
  </si>
  <si>
    <t>Donaciones Hospital Traumatologico</t>
  </si>
  <si>
    <t>Donaciones Hospital Provincial Dr. Angel Contreras</t>
  </si>
  <si>
    <t>Donaciones Hospital Materno Infantil</t>
  </si>
  <si>
    <t>Donaciones Hospital Padre Billini</t>
  </si>
  <si>
    <t>Donaciones por transferencia capital  (19-4)</t>
  </si>
  <si>
    <t>SUPLIDOR</t>
  </si>
  <si>
    <t xml:space="preserve">Libramiento </t>
  </si>
  <si>
    <t xml:space="preserve">Fecha Registro </t>
  </si>
  <si>
    <t>Valor Bruto</t>
  </si>
  <si>
    <t>PROFARES S.R.L.</t>
  </si>
  <si>
    <t>2022-15376-1</t>
  </si>
  <si>
    <t>SEAN DOMINICANA,  S.R.L.</t>
  </si>
  <si>
    <t>2022-14622-1</t>
  </si>
  <si>
    <t>OSCAR A. RENTA NEGRON, S. A.</t>
  </si>
  <si>
    <t>2022-14397-1</t>
  </si>
  <si>
    <t>ABBVIE, S.R.L.</t>
  </si>
  <si>
    <t>2022-14614-1</t>
  </si>
  <si>
    <t xml:space="preserve">HOSPIFAR, S. R. L.              </t>
  </si>
  <si>
    <t>2022-14388-1</t>
  </si>
  <si>
    <t>DISS DOMINICANA, S.R.L.</t>
  </si>
  <si>
    <t>2022-14498-1</t>
  </si>
  <si>
    <t>SUPLIDORES MEDICOS COMERCIALES, SRL (SUMEDCOR)</t>
  </si>
  <si>
    <t>2022-14390-1</t>
  </si>
  <si>
    <t>WORLD TECHNOLOGY TATIS, S.R.L.</t>
  </si>
  <si>
    <t>2022-14562-1</t>
  </si>
  <si>
    <t>BIO-NUCLEAR, S. A.</t>
  </si>
  <si>
    <t>2022-14618-1</t>
  </si>
  <si>
    <t>KETTLE, SANCHEZ Y CO. S.A.</t>
  </si>
  <si>
    <t>2022-15382-1</t>
  </si>
  <si>
    <t>2022-14374-1</t>
  </si>
  <si>
    <t>2022-14617-1</t>
  </si>
  <si>
    <t>AIR LIQUIDE DOMINICANA, SAS.</t>
  </si>
  <si>
    <t>2022-14825-1</t>
  </si>
  <si>
    <t>SUED &amp; FARGESA,  S. R. L.</t>
  </si>
  <si>
    <t>2022-14386-1</t>
  </si>
  <si>
    <t>2022-15755-1</t>
  </si>
  <si>
    <t>MEGA LABS, S.R.L. (ROEMMERS)</t>
  </si>
  <si>
    <t>2022-14626-1</t>
  </si>
  <si>
    <t>SERVICIOS MULTIPLES COMERCIALES SEMCO, SRL</t>
  </si>
  <si>
    <t>2022-14616-1</t>
  </si>
  <si>
    <t>TOTAL PAGADO VIA LIBRAMIENTOS</t>
  </si>
  <si>
    <t>Otros Ingresos</t>
  </si>
  <si>
    <t xml:space="preserve"> Un detalle del ingreso por los recargos, multas y otros ingresos  al 31 de diciembre 2022 y 2021 es como sigue:</t>
  </si>
  <si>
    <t>Alquiler mensual</t>
  </si>
  <si>
    <t>Compensacion por maternidad y licencia</t>
  </si>
  <si>
    <t>Depositos pendientes por identificar</t>
  </si>
  <si>
    <t>Maquina de snack y dispensadora</t>
  </si>
  <si>
    <t>Reintegro de CK 1848</t>
  </si>
  <si>
    <t>Sobrante</t>
  </si>
  <si>
    <t>Reclasificacion</t>
  </si>
  <si>
    <t>Nota #21) Sueldos, salarios y beneficios a empleados</t>
  </si>
  <si>
    <t>Un detalle de las cuentas sueldos, salarios, beneficios a empleados al 31 de diciembre 2022 y 2021 es como sigue:</t>
  </si>
  <si>
    <t>21,1)Sueldos para Cargos Fijos</t>
  </si>
  <si>
    <t>Sueldos Al Personal Contratado Y/O Igualado Administrativo</t>
  </si>
  <si>
    <t>Sueldos Al Personal Contratado Y/O Igualado Medico</t>
  </si>
  <si>
    <t>Remuneraciones Al Personal suplencia</t>
  </si>
  <si>
    <t>Sueldos Al Personal  Fijo</t>
  </si>
  <si>
    <t>Sueldos Al Personal Temporero</t>
  </si>
  <si>
    <t>sueldo al personal eventual</t>
  </si>
  <si>
    <t>21-2) Compensaciones Directas al Personal</t>
  </si>
  <si>
    <t xml:space="preserve"> </t>
  </si>
  <si>
    <r>
      <t xml:space="preserve">Regalía Pascual </t>
    </r>
    <r>
      <rPr>
        <b/>
        <sz val="14"/>
        <color theme="1"/>
        <rFont val="Verdana"/>
        <family val="2"/>
      </rPr>
      <t>(21-2-1)</t>
    </r>
  </si>
  <si>
    <t>Compensación uso de Vehículo</t>
  </si>
  <si>
    <t>Compensaciones Especiales</t>
  </si>
  <si>
    <t>Compensación Servicios De Seguridad</t>
  </si>
  <si>
    <t>Prima de Transporte</t>
  </si>
  <si>
    <t>Vacaciones</t>
  </si>
  <si>
    <t>Prestación Laboral Por Desvinculación</t>
  </si>
  <si>
    <r>
      <t xml:space="preserve">Incentivos y Escalafón </t>
    </r>
    <r>
      <rPr>
        <b/>
        <sz val="14"/>
        <color theme="1"/>
        <rFont val="Verdana"/>
        <family val="2"/>
      </rPr>
      <t>(21-2-2)</t>
    </r>
  </si>
  <si>
    <t xml:space="preserve">Otras gratificaciones </t>
  </si>
  <si>
    <t>(20-2-3) Honorarios</t>
  </si>
  <si>
    <t>2020</t>
  </si>
  <si>
    <t>2019</t>
  </si>
  <si>
    <r>
      <rPr>
        <b/>
        <sz val="14"/>
        <color theme="1"/>
        <rFont val="Verdana"/>
        <family val="2"/>
      </rPr>
      <t xml:space="preserve">(21-2-1 </t>
    </r>
    <r>
      <rPr>
        <sz val="14"/>
        <color theme="1"/>
        <rFont val="Verdana"/>
        <family val="2"/>
      </rPr>
      <t xml:space="preserve">)Corresponde a Provisión Regalía Pascual Empleados </t>
    </r>
  </si>
  <si>
    <r>
      <rPr>
        <b/>
        <sz val="14"/>
        <color theme="1"/>
        <rFont val="Verdana"/>
        <family val="2"/>
      </rPr>
      <t>(21-2-2)</t>
    </r>
    <r>
      <rPr>
        <sz val="14"/>
        <color theme="1"/>
        <rFont val="Verdana"/>
        <family val="2"/>
      </rPr>
      <t>Corresponde a reserva de Incentivo Correspondiente 10% pagos recibidos por ARS., Enero-diciembre 2022</t>
    </r>
  </si>
  <si>
    <t>21-3) Contribuciones a la Seguridad Social y Riesgo Laboral</t>
  </si>
  <si>
    <t>Contribuciones al Seguro de Salud</t>
  </si>
  <si>
    <t>Contribuciones al Fondo de Pensiones</t>
  </si>
  <si>
    <t>Contribuciones por Riesgo Laboral</t>
  </si>
  <si>
    <t>Total Sueldos, salarios y beneficios a empleados</t>
  </si>
  <si>
    <t>22-) Subvención y otros pagos por transferencias</t>
  </si>
  <si>
    <t>Un detalle de las Subvención y otros pagos por transferencias al 31 de diciembre 2022 y 2021 es como sigue:</t>
  </si>
  <si>
    <t>Donaciones a tercero</t>
  </si>
  <si>
    <t>Total Subvención y otros pagos por transferencias</t>
  </si>
  <si>
    <t>Estas donaciones corresponden a donaciones de medicamentos a varios hospitales (El Almirante, Moscoso Puello, Hospital de la Mujer, Prof. Juan Bosch, Luis E. Aybar, Nuestra sera de la altagracia  y otros, durante el semestre.</t>
  </si>
  <si>
    <t xml:space="preserve">Nota #23) Suministros y material para consumo </t>
  </si>
  <si>
    <t>23-1)Costos Operativos</t>
  </si>
  <si>
    <t>Medicamentos En General</t>
  </si>
  <si>
    <t>Insumos Médicos Y Mat. Gastables Hospitalarios</t>
  </si>
  <si>
    <t>Medicamentos Citostaticos</t>
  </si>
  <si>
    <t>Medicamentos Controlados</t>
  </si>
  <si>
    <t>Alimentación</t>
  </si>
  <si>
    <t>Insumos Ciclotrón</t>
  </si>
  <si>
    <t>Laboratorio</t>
  </si>
  <si>
    <t>TOTAL</t>
  </si>
  <si>
    <t>23-2) Materiales y Suministros</t>
  </si>
  <si>
    <t xml:space="preserve">Accesorios De Metal </t>
  </si>
  <si>
    <t xml:space="preserve">Artículos De Plástico </t>
  </si>
  <si>
    <t xml:space="preserve">Aceites Y Grasas </t>
  </si>
  <si>
    <t xml:space="preserve">Acabados Textiles </t>
  </si>
  <si>
    <t xml:space="preserve">Artículos de caucho </t>
  </si>
  <si>
    <t>Artículos De Cuero</t>
  </si>
  <si>
    <t>Alimentos Y Bebidas Para Personas</t>
  </si>
  <si>
    <t>Estructuras Metálicas Acabadas</t>
  </si>
  <si>
    <t xml:space="preserve">Gas Glp </t>
  </si>
  <si>
    <t xml:space="preserve">Gasoil </t>
  </si>
  <si>
    <t>Insecticidas, fumigantes y otros</t>
  </si>
  <si>
    <t>Herramientas Menores</t>
  </si>
  <si>
    <t xml:space="preserve">Hilos y telas </t>
  </si>
  <si>
    <t xml:space="preserve">Libros Revista Y Periódicos     </t>
  </si>
  <si>
    <t xml:space="preserve">Limpieza E Higiene </t>
  </si>
  <si>
    <t>Maderas, corchos y sus manufacturas</t>
  </si>
  <si>
    <t>Otros Mobiliarios y Equipos No Identificados Precedentemente</t>
  </si>
  <si>
    <t xml:space="preserve">Otros Repuestos Y Accesorios Menores  </t>
  </si>
  <si>
    <t xml:space="preserve">Pintura, Lacas, Barnices, Diluyentes Y Absorbentes Para Pintura </t>
  </si>
  <si>
    <t>Piedra, arcilla y arena</t>
  </si>
  <si>
    <t>Prenda de vestir</t>
  </si>
  <si>
    <t>Productos Abrasivos</t>
  </si>
  <si>
    <t xml:space="preserve">Productos de Artes Gráfico </t>
  </si>
  <si>
    <t>Productos de Cemento</t>
  </si>
  <si>
    <t>Productos De Loza</t>
  </si>
  <si>
    <t xml:space="preserve">Productos De Papel, Cartón Copia E Impresos </t>
  </si>
  <si>
    <t>Productos De Vidrio</t>
  </si>
  <si>
    <t>Productos De Yeso</t>
  </si>
  <si>
    <t xml:space="preserve">Productos Eléctricos Y Afines </t>
  </si>
  <si>
    <t xml:space="preserve">Productos Químico De Uso Personal  </t>
  </si>
  <si>
    <t>Productos de Porcelana</t>
  </si>
  <si>
    <t>Productos Fotoquímicos</t>
  </si>
  <si>
    <t>Productos Explosivos y Pirotecnia</t>
  </si>
  <si>
    <t>Productos forestales</t>
  </si>
  <si>
    <t>Productos Ferrosos</t>
  </si>
  <si>
    <t>Productos Ferrosos no ferrosos</t>
  </si>
  <si>
    <t>Productos Y Útiles Varios N.I.P.</t>
  </si>
  <si>
    <t xml:space="preserve">Útiles De Cocina Y Comedor   </t>
  </si>
  <si>
    <t>Útiles De Escritorio, Oficina Informática Y De Enseñanza</t>
  </si>
  <si>
    <t xml:space="preserve">Útiles Menores Médico Quirúrgicos </t>
  </si>
  <si>
    <t>Utensilios Destinado A Actividades, Deportivas, Culturales Y Recreativa</t>
  </si>
  <si>
    <t>ACCESORIOS DE METAL</t>
  </si>
  <si>
    <t>Instrumental Médico</t>
  </si>
  <si>
    <t>Calzados</t>
  </si>
  <si>
    <t>Licencia Informatica</t>
  </si>
  <si>
    <t xml:space="preserve">Gasolina </t>
  </si>
  <si>
    <t xml:space="preserve">Lavandería </t>
  </si>
  <si>
    <t>Llantas y Neumáticos</t>
  </si>
  <si>
    <t>Maquinarias y herramientas</t>
  </si>
  <si>
    <t xml:space="preserve">Total Suministros y material para consumo </t>
  </si>
  <si>
    <t>(23-2-1) Incluye los siguientes Articulo de Plásticos</t>
  </si>
  <si>
    <t>(23-2-2) Incluye los siguientes Acabados Textiles :</t>
  </si>
  <si>
    <r>
      <rPr>
        <b/>
        <sz val="14"/>
        <color theme="1"/>
        <rFont val="Verdana"/>
        <family val="2"/>
      </rPr>
      <t>(23-2-3)</t>
    </r>
    <r>
      <rPr>
        <sz val="14"/>
        <color theme="1"/>
        <rFont val="Verdana"/>
        <family val="2"/>
      </rPr>
      <t xml:space="preserve"> Esta Partida Corresponde al Consumo GLP  uso cocina y calderas</t>
    </r>
  </si>
  <si>
    <r>
      <rPr>
        <b/>
        <sz val="14"/>
        <color theme="1"/>
        <rFont val="Verdana"/>
        <family val="2"/>
      </rPr>
      <t>(23-2-4)</t>
    </r>
    <r>
      <rPr>
        <sz val="14"/>
        <color theme="1"/>
        <rFont val="Verdana"/>
        <family val="2"/>
      </rPr>
      <t xml:space="preserve"> Esta Partida Corresponde al Consumo Gasoil planta eléctrica</t>
    </r>
  </si>
  <si>
    <r>
      <t xml:space="preserve">(23-2-5) </t>
    </r>
    <r>
      <rPr>
        <sz val="14"/>
        <color theme="1"/>
        <rFont val="Verdana"/>
        <family val="2"/>
      </rPr>
      <t>Esta partida corresponde a gastos en materiales de Limpieza E Higiene, Compra de Fundas desechables, Jabones Antibacterial, Aerowest Cherry Odo 2 Onzas, Papel Toalla e higienico</t>
    </r>
  </si>
  <si>
    <t>(23-2-6)Esta partida incluye los siguientes:</t>
  </si>
  <si>
    <t>Camara web para pc, Regulador de Oxigeno y OSRM lampara xenon de arco corto</t>
  </si>
  <si>
    <t>(23-2-07) Incluye los siguientes Productos Eléctricos Y Afines:</t>
  </si>
  <si>
    <t>(23-2-08) Incluye los siguientes Productos Químico De Uso Personal :</t>
  </si>
  <si>
    <t>Esta Partida Corresponde al Consumo de Oxigeno  2021</t>
  </si>
  <si>
    <t>(23-2-09) Esta Partida incluye : Útiles De Cocina Y Comedor</t>
  </si>
  <si>
    <t xml:space="preserve">Esta Partida Corresponde a la compra de envases foam  y desechables </t>
  </si>
  <si>
    <t xml:space="preserve">(23-2-10) Esta Partida incluye : </t>
  </si>
  <si>
    <t>Útiles De Escritorio, Oficina Informática Y De Enseñanza (Folders, DVD, Papel Bond)</t>
  </si>
  <si>
    <t>(23-2-11) Esta Partida incluye : Útiles Menores Médico Quirúrgicos</t>
  </si>
  <si>
    <t>Nota #24) Gasto de depreciación y Amortización</t>
  </si>
  <si>
    <t>Un detalle de los  gastos de depreciación y amortización al 31 de diciembre 2022 y 2021  es como sigue:</t>
  </si>
  <si>
    <t>Depreciación y Amortización</t>
  </si>
  <si>
    <t>Total Gasto de depreciación y Amortización</t>
  </si>
  <si>
    <t>(Nota #25) Otros Gastos</t>
  </si>
  <si>
    <t>25) Servicios No Personales</t>
  </si>
  <si>
    <r>
      <t>Agua</t>
    </r>
    <r>
      <rPr>
        <b/>
        <sz val="13"/>
        <color theme="1"/>
        <rFont val="Verdana"/>
        <family val="2"/>
      </rPr>
      <t xml:space="preserve"> </t>
    </r>
  </si>
  <si>
    <t>Pago Servicio  Fundación Loata</t>
  </si>
  <si>
    <t>Derechos</t>
  </si>
  <si>
    <t xml:space="preserve">Eventos en general </t>
  </si>
  <si>
    <t>Festividades</t>
  </si>
  <si>
    <t>Fletes</t>
  </si>
  <si>
    <t xml:space="preserve">Fumigación </t>
  </si>
  <si>
    <t xml:space="preserve">Impresión y encuadernación </t>
  </si>
  <si>
    <t xml:space="preserve">Impuestos </t>
  </si>
  <si>
    <t xml:space="preserve">Instalaciones Eléctricas </t>
  </si>
  <si>
    <t>lavandería</t>
  </si>
  <si>
    <t>hilos y telas</t>
  </si>
  <si>
    <t>Mantenimiento y Rep. De Equipos de Oficina y Muebles</t>
  </si>
  <si>
    <t xml:space="preserve">Mantenimiento y Reparación de Equipo para Computación </t>
  </si>
  <si>
    <t xml:space="preserve">Mantenimiento y reparación de equipos de transporte, tracción y elevación </t>
  </si>
  <si>
    <t xml:space="preserve">Mantenimiento Y Reparación De Equipos Sanitarios Y De Laboratorio </t>
  </si>
  <si>
    <t>Mantenimiento Y Reparación De Obras Civiles En Instalaciones</t>
  </si>
  <si>
    <t xml:space="preserve">Obras menores en Edificaciones </t>
  </si>
  <si>
    <t>Alquiler y equipos de computaciones</t>
  </si>
  <si>
    <t>Otros Alquileres</t>
  </si>
  <si>
    <r>
      <t>Otros servicios Técnicos Profesionales</t>
    </r>
    <r>
      <rPr>
        <b/>
        <sz val="13"/>
        <color theme="1"/>
        <rFont val="Verdana"/>
        <family val="2"/>
      </rPr>
      <t xml:space="preserve"> </t>
    </r>
  </si>
  <si>
    <t xml:space="preserve">Pasajes y Taxis </t>
  </si>
  <si>
    <t>Peaje</t>
  </si>
  <si>
    <t xml:space="preserve">Recolección de residuos sólidos </t>
  </si>
  <si>
    <t>Servicios contabilidad y auditoria</t>
  </si>
  <si>
    <t xml:space="preserve">Servicios de Capacitación </t>
  </si>
  <si>
    <t xml:space="preserve">servicios de informática y sistemas computarizados </t>
  </si>
  <si>
    <t xml:space="preserve">Servicios especiales de mantenimiento y reparación  </t>
  </si>
  <si>
    <t>Servicios Funerarios Y Gastos Conexos</t>
  </si>
  <si>
    <r>
      <t>Servicios jurídicos</t>
    </r>
    <r>
      <rPr>
        <b/>
        <sz val="13"/>
        <color theme="1"/>
        <rFont val="Verdana"/>
        <family val="2"/>
      </rPr>
      <t xml:space="preserve"> </t>
    </r>
  </si>
  <si>
    <t xml:space="preserve">Servicios sanitarios médicos y veterinarios </t>
  </si>
  <si>
    <t>Seguro de personas</t>
  </si>
  <si>
    <t xml:space="preserve">seguro de bienes inmuebles e infraestructura  </t>
  </si>
  <si>
    <r>
      <t>Teléfono local</t>
    </r>
    <r>
      <rPr>
        <b/>
        <sz val="13"/>
        <color theme="1"/>
        <rFont val="Verdana"/>
        <family val="2"/>
      </rPr>
      <t xml:space="preserve"> </t>
    </r>
  </si>
  <si>
    <t>Tasas</t>
  </si>
  <si>
    <t>Viáticos Fuera Del País</t>
  </si>
  <si>
    <t>Almacenaje</t>
  </si>
  <si>
    <t>Comerciales</t>
  </si>
  <si>
    <t>Electricidad</t>
  </si>
  <si>
    <t>Publicidad Y Propaganda</t>
  </si>
  <si>
    <t>Estudios, Investigaciones Y Análisis De Factibilidad</t>
  </si>
  <si>
    <t xml:space="preserve">Mantenimiento Y Reparación Equipos De Comunicación </t>
  </si>
  <si>
    <t>Servicio De Internet Y Televisión Por Cable</t>
  </si>
  <si>
    <t xml:space="preserve">Servicios De Contabilidad Y Auditoría </t>
  </si>
  <si>
    <t>25-2) Otros Gastos</t>
  </si>
  <si>
    <t>Otros Gastos</t>
  </si>
  <si>
    <r>
      <t xml:space="preserve">Cuentas Incobrables </t>
    </r>
    <r>
      <rPr>
        <b/>
        <sz val="14"/>
        <color theme="1"/>
        <rFont val="Verdana"/>
        <family val="2"/>
      </rPr>
      <t>(25-2-1)</t>
    </r>
  </si>
  <si>
    <t>Otros gastos, ajustes de ingresos</t>
  </si>
  <si>
    <t>Gasto de Fondocyt</t>
  </si>
  <si>
    <r>
      <t>(25-2-1)' c</t>
    </r>
    <r>
      <rPr>
        <sz val="14"/>
        <color theme="1"/>
        <rFont val="Verdana"/>
        <family val="2"/>
      </rPr>
      <t>orresponden  a glosas de las ARS de enero a diciembre 2022.'</t>
    </r>
  </si>
  <si>
    <t>Gastos operativos Exonerados</t>
  </si>
  <si>
    <t>Consultas, Laboratios, procedimientos y Hospitalización</t>
  </si>
  <si>
    <t>Total Ingresos Operativos Exonerados</t>
  </si>
  <si>
    <t>Total Otros Gastos</t>
  </si>
  <si>
    <t>(Nota 26) Gastos Financieros</t>
  </si>
  <si>
    <t>Un detalle de los Gastos Financieros  al 31 de diciembre 2022 y 2021 es como sigue:</t>
  </si>
  <si>
    <t>Gastos Financieros</t>
  </si>
  <si>
    <t>Total Gastos Financieros</t>
  </si>
  <si>
    <t xml:space="preserve">(Nota 27) Ganancia (perdida) por diferencia cambiaria </t>
  </si>
  <si>
    <t>Un detalle de los Ganancia (perdida) por diferencia cambiaria  al 31 de diciembre 2021 y 2020 es como sigue:</t>
  </si>
  <si>
    <t xml:space="preserve">Ganancia (perdida) por diferencia cambiaria </t>
  </si>
  <si>
    <t xml:space="preserve">Total Ganancia (perdida) por diferencia cambiaria </t>
  </si>
  <si>
    <t>Base legal mediante la cual fue creada es el Decreto 133-12 del 22 de marzo 2012, donde designan con el nombre de Instituto Nacional del Cáncer Rosa Emilia Sánchez Pérez de Tavares al nuevo hospital construido en la calle Correa y Cedrón esquina Rafael A. Sánchez Ravelo, Zona Universitaria, Distrito Nacional.  En la actualidad los principales funcionarios de la institución son: Dr. José Ramírez Feliz (Director General General), Licda.Sandra Ciprian (Directora Financiera), Licda. Lissete Rodriguez (Directora Administrativa), Licda.Johanna Castillo (Directora de Gestión Humana Interina), Licda. Maribel Feliz (Gerente de Tesorería), Licda. Rosa (Gerente de Compras y Contrataciones),Dr. Mario Furcal (Gerente del Centro Quirúrgico), Licda. Maria M. Santana (Gerente de Revisión y Control) y Licda. Yokasta Burgos (Contador General) entre otros.</t>
  </si>
  <si>
    <t>Un detalle de las cuentas por cobrar al 31 de diciembre 2022 y 2021 es como sigue:</t>
  </si>
  <si>
    <t>AL 31 DICIEMBRE 2022</t>
  </si>
  <si>
    <r>
      <t xml:space="preserve">Cuentas por pagar proveedores  </t>
    </r>
    <r>
      <rPr>
        <b/>
        <sz val="14"/>
        <color theme="1"/>
        <rFont val="Verdana"/>
        <family val="2"/>
      </rPr>
      <t>(Anexo cuentas por pagar)</t>
    </r>
  </si>
  <si>
    <t>Otras cuentas por cobrar</t>
  </si>
  <si>
    <t>Las adquisiciones  al 31 diciembre 2022 incluye:</t>
  </si>
  <si>
    <r>
      <t xml:space="preserve">Donaciones por transferencia de capital </t>
    </r>
    <r>
      <rPr>
        <b/>
        <sz val="14"/>
        <color rgb="FF000000"/>
        <rFont val="Verdana"/>
        <family val="2"/>
      </rPr>
      <t xml:space="preserve"> (19-4)</t>
    </r>
  </si>
  <si>
    <t>Esto corresponde a deudas del INCART asumidas por el Servicio Nacional de Salud (SNS) al 31 de diciembre 2022, ver debajo detalle de los pagos:</t>
  </si>
  <si>
    <t xml:space="preserve"> Un detalle  otros ingresos al 31 de dicimebre y 2021 es como sigue: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</si>
</sst>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3" formatCode="_(* #,##0.00_);_(* \(#,##0.00\);_(* &quot;-&quot;??_);_(@_)"/>
    <numFmt numFmtId="164" formatCode="_-* #,##0.00\ _€_-;\-* #,##0.00\ _€_-;_-* &quot;-&quot;??\ _€_-;_-@_-"/>
    <numFmt numFmtId="165" formatCode="0.0%"/>
    <numFmt numFmtId="166" formatCode="_-* #,##0\ _€_-;\-* #,##0\ _€_-;_-* &quot;-&quot;??\ _€_-;_-@_-"/>
    <numFmt numFmtId="167" formatCode="_-* #,##0.0\ _€_-;\-* #,##0.0\ _€_-;_-* &quot;-&quot;??\ _€_-;_-@_-"/>
    <numFmt numFmtId="168" formatCode="_-* #,##0.000\ _€_-;\-* #,##0.000\ _€_-;_-* &quot;-&quot;??\ _€_-;_-@_-"/>
    <numFmt numFmtId="169" formatCode="_(* #,##0_);_(* \(#,##0\);_(* &quot;-&quot;??_);_(@_)"/>
  </numFmts>
  <fonts count="6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4"/>
      <color theme="1"/>
      <name val="Verdana"/>
      <family val="2"/>
    </font>
    <font>
      <sz val="14"/>
      <name val="Verdana"/>
      <family val="2"/>
    </font>
    <font>
      <b/>
      <sz val="14"/>
      <name val="Verdana"/>
      <family val="2"/>
    </font>
    <font>
      <b/>
      <sz val="14"/>
      <color theme="1"/>
      <name val="Verdana"/>
      <family val="2"/>
    </font>
    <font>
      <b/>
      <sz val="14"/>
      <color rgb="FF231F20"/>
      <name val="Verdana"/>
      <family val="2"/>
    </font>
    <font>
      <sz val="14"/>
      <color rgb="FFFF0000"/>
      <name val="Verdana"/>
      <family val="2"/>
    </font>
    <font>
      <b/>
      <u/>
      <sz val="14"/>
      <color rgb="FF231F20"/>
      <name val="Verdana"/>
      <family val="2"/>
    </font>
    <font>
      <b/>
      <u/>
      <sz val="14"/>
      <name val="Verdana"/>
      <family val="2"/>
    </font>
    <font>
      <sz val="14"/>
      <color rgb="FF231F20"/>
      <name val="Verdana"/>
      <family val="2"/>
    </font>
    <font>
      <b/>
      <u/>
      <sz val="14"/>
      <color theme="1"/>
      <name val="Verdana"/>
      <family val="2"/>
    </font>
    <font>
      <b/>
      <sz val="14"/>
      <color rgb="FF000000"/>
      <name val="Verdana"/>
      <family val="2"/>
    </font>
    <font>
      <b/>
      <sz val="18"/>
      <color rgb="FF000000"/>
      <name val="Verdana"/>
      <family val="2"/>
    </font>
    <font>
      <sz val="18"/>
      <color theme="1"/>
      <name val="Verdana"/>
      <family val="2"/>
    </font>
    <font>
      <b/>
      <sz val="18"/>
      <color rgb="FF231F20"/>
      <name val="Verdana"/>
      <family val="2"/>
    </font>
    <font>
      <sz val="18"/>
      <color rgb="FF231F20"/>
      <name val="Verdana"/>
      <family val="2"/>
    </font>
    <font>
      <b/>
      <u/>
      <sz val="18"/>
      <color rgb="FF231F20"/>
      <name val="Verdana"/>
      <family val="2"/>
    </font>
    <font>
      <b/>
      <sz val="18"/>
      <color theme="1"/>
      <name val="Verdana"/>
      <family val="2"/>
    </font>
    <font>
      <b/>
      <sz val="9"/>
      <color indexed="81"/>
      <name val="Tahoma"/>
      <family val="2"/>
    </font>
    <font>
      <sz val="9"/>
      <color indexed="81"/>
      <name val="Tahoma"/>
      <family val="2"/>
    </font>
    <font>
      <sz val="14"/>
      <color theme="1"/>
      <name val="Calibri"/>
      <family val="2"/>
      <scheme val="minor"/>
    </font>
    <font>
      <u/>
      <sz val="14"/>
      <color rgb="FF231F20"/>
      <name val="Verdana"/>
      <family val="2"/>
    </font>
    <font>
      <b/>
      <sz val="14"/>
      <color theme="1"/>
      <name val="Calibri"/>
      <family val="2"/>
      <scheme val="minor"/>
    </font>
    <font>
      <b/>
      <sz val="11.5"/>
      <color rgb="FF000000"/>
      <name val="Verdana"/>
      <family val="2"/>
    </font>
    <font>
      <sz val="11.5"/>
      <color theme="1"/>
      <name val="Verdana"/>
      <family val="2"/>
    </font>
    <font>
      <b/>
      <sz val="11.5"/>
      <color rgb="FF231F20"/>
      <name val="Verdana"/>
      <family val="2"/>
    </font>
    <font>
      <sz val="11.5"/>
      <color rgb="FF231F20"/>
      <name val="Verdana"/>
      <family val="2"/>
    </font>
    <font>
      <u/>
      <sz val="11.5"/>
      <color rgb="FF231F20"/>
      <name val="Verdana"/>
      <family val="2"/>
    </font>
    <font>
      <b/>
      <u/>
      <sz val="11.5"/>
      <color rgb="FF231F20"/>
      <name val="Verdana"/>
      <family val="2"/>
    </font>
    <font>
      <b/>
      <sz val="11.5"/>
      <color theme="1"/>
      <name val="Verdana"/>
      <family val="2"/>
    </font>
    <font>
      <sz val="11.5"/>
      <color rgb="FFFF0000"/>
      <name val="Verdana"/>
      <family val="2"/>
    </font>
    <font>
      <b/>
      <sz val="11"/>
      <color theme="1"/>
      <name val="Verdana"/>
      <family val="2"/>
    </font>
    <font>
      <b/>
      <sz val="12"/>
      <color theme="1"/>
      <name val="Verdana"/>
      <family val="2"/>
    </font>
    <font>
      <b/>
      <sz val="14"/>
      <color theme="7" tint="0.79998168889431442"/>
      <name val="Verdana"/>
      <family val="2"/>
    </font>
    <font>
      <sz val="14"/>
      <color rgb="FF000000"/>
      <name val="Verdana"/>
      <family val="2"/>
    </font>
    <font>
      <b/>
      <sz val="14"/>
      <color theme="5"/>
      <name val="Verdana"/>
      <family val="2"/>
    </font>
    <font>
      <sz val="16"/>
      <color rgb="FF000000"/>
      <name val="Verdana"/>
      <family val="2"/>
    </font>
    <font>
      <b/>
      <sz val="16"/>
      <color rgb="FF000000"/>
      <name val="Verdana"/>
      <family val="2"/>
    </font>
    <font>
      <sz val="10"/>
      <color rgb="FF000000"/>
      <name val="Verdana"/>
      <family val="2"/>
    </font>
    <font>
      <b/>
      <sz val="11"/>
      <color rgb="FF000000"/>
      <name val="Verdana"/>
      <family val="2"/>
    </font>
    <font>
      <b/>
      <sz val="10"/>
      <color rgb="FF000000"/>
      <name val="Verdana"/>
      <family val="2"/>
    </font>
    <font>
      <sz val="11"/>
      <color rgb="FF000000"/>
      <name val="Verdana"/>
      <family val="2"/>
    </font>
    <font>
      <b/>
      <sz val="10"/>
      <color theme="0"/>
      <name val="Verdana"/>
      <family val="2"/>
    </font>
    <font>
      <sz val="10"/>
      <color theme="1"/>
      <name val="Verdana"/>
      <family val="2"/>
    </font>
    <font>
      <b/>
      <sz val="10"/>
      <color theme="1"/>
      <name val="Verdana"/>
      <family val="2"/>
    </font>
    <font>
      <b/>
      <sz val="14"/>
      <color rgb="FFFF0000"/>
      <name val="Verdana"/>
      <family val="2"/>
    </font>
    <font>
      <sz val="14"/>
      <color rgb="FF111111"/>
      <name val="Verdana"/>
      <family val="2"/>
    </font>
    <font>
      <b/>
      <sz val="14"/>
      <color rgb="FF000000"/>
      <name val="Calibri"/>
      <family val="2"/>
      <scheme val="minor"/>
    </font>
    <font>
      <sz val="14"/>
      <color rgb="FF000000"/>
      <name val="Calibri"/>
      <family val="2"/>
      <scheme val="minor"/>
    </font>
    <font>
      <b/>
      <sz val="14"/>
      <color theme="0"/>
      <name val="Verdana"/>
      <family val="2"/>
    </font>
    <font>
      <sz val="12"/>
      <color rgb="FF000000"/>
      <name val="Verdana"/>
      <family val="2"/>
    </font>
    <font>
      <sz val="12"/>
      <color theme="1"/>
      <name val="Verdana"/>
      <family val="2"/>
    </font>
    <font>
      <b/>
      <sz val="12"/>
      <color rgb="FF000000"/>
      <name val="Verdana"/>
      <family val="2"/>
    </font>
    <font>
      <b/>
      <sz val="16"/>
      <color theme="1"/>
      <name val="Verdana"/>
      <family val="2"/>
    </font>
    <font>
      <b/>
      <sz val="14"/>
      <color theme="7" tint="0.59999389629810485"/>
      <name val="Verdana"/>
      <family val="2"/>
    </font>
    <font>
      <b/>
      <sz val="12"/>
      <color theme="0"/>
      <name val="Verdana"/>
      <family val="2"/>
    </font>
    <font>
      <sz val="13"/>
      <color theme="1"/>
      <name val="Verdana"/>
      <family val="2"/>
    </font>
    <font>
      <sz val="14"/>
      <color rgb="FF222222"/>
      <name val="Verdana"/>
      <family val="2"/>
    </font>
    <font>
      <b/>
      <sz val="13"/>
      <color theme="1"/>
      <name val="Verdana"/>
      <family val="2"/>
    </font>
    <font>
      <b/>
      <u/>
      <sz val="14"/>
      <color rgb="FF000000"/>
      <name val="Verdana"/>
      <family val="2"/>
    </font>
  </fonts>
  <fills count="10">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
      <patternFill patternType="solid">
        <fgColor theme="6" tint="-0.49998474074526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5"/>
        <bgColor indexed="64"/>
      </patternFill>
    </fill>
  </fills>
  <borders count="29">
    <border>
      <left/>
      <right/>
      <top/>
      <bottom/>
      <diagonal/>
    </border>
    <border>
      <left/>
      <right/>
      <top style="thin">
        <color indexed="64"/>
      </top>
      <bottom style="double">
        <color indexed="64"/>
      </bottom>
      <diagonal/>
    </border>
    <border>
      <left/>
      <right/>
      <top style="thin">
        <color indexed="64"/>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auto="1"/>
      </top>
      <bottom style="thin">
        <color auto="1"/>
      </bottom>
      <diagonal/>
    </border>
    <border>
      <left style="medium">
        <color indexed="64"/>
      </left>
      <right/>
      <top/>
      <bottom/>
      <diagonal/>
    </border>
    <border>
      <left/>
      <right style="medium">
        <color indexed="64"/>
      </right>
      <top/>
      <bottom/>
      <diagonal/>
    </border>
    <border>
      <left/>
      <right style="medium">
        <color auto="1"/>
      </right>
      <top/>
      <bottom style="thin">
        <color auto="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738">
    <xf numFmtId="0" fontId="0" fillId="0" borderId="0" xfId="0"/>
    <xf numFmtId="0" fontId="4" fillId="0" borderId="0" xfId="0" applyFont="1"/>
    <xf numFmtId="164" fontId="4" fillId="0" borderId="0" xfId="2" applyFont="1" applyFill="1"/>
    <xf numFmtId="0" fontId="4" fillId="0" borderId="0" xfId="0" applyFont="1" applyFill="1" applyBorder="1"/>
    <xf numFmtId="0" fontId="4" fillId="0" borderId="0" xfId="0" applyFont="1" applyFill="1"/>
    <xf numFmtId="165" fontId="4" fillId="0" borderId="0" xfId="1" applyNumberFormat="1" applyFont="1"/>
    <xf numFmtId="0" fontId="4" fillId="0" borderId="0" xfId="0" applyFont="1" applyAlignment="1">
      <alignment horizontal="center"/>
    </xf>
    <xf numFmtId="164" fontId="4" fillId="0" borderId="0" xfId="2" applyFont="1" applyBorder="1" applyAlignment="1">
      <alignment horizontal="right"/>
    </xf>
    <xf numFmtId="0" fontId="4" fillId="2" borderId="0" xfId="0" applyFont="1" applyFill="1" applyBorder="1" applyAlignment="1">
      <alignment horizontal="right"/>
    </xf>
    <xf numFmtId="0" fontId="4" fillId="0" borderId="0" xfId="0" applyFont="1" applyAlignment="1">
      <alignment horizontal="right"/>
    </xf>
    <xf numFmtId="0" fontId="4" fillId="0" borderId="0" xfId="0" applyFont="1" applyAlignment="1">
      <alignment vertical="center"/>
    </xf>
    <xf numFmtId="164" fontId="4" fillId="2" borderId="0" xfId="2" applyFont="1" applyFill="1" applyBorder="1" applyAlignment="1">
      <alignment horizontal="right"/>
    </xf>
    <xf numFmtId="164" fontId="4" fillId="0" borderId="0" xfId="2" applyFont="1" applyAlignment="1">
      <alignment horizontal="right"/>
    </xf>
    <xf numFmtId="164" fontId="5" fillId="2" borderId="0" xfId="2" applyFont="1" applyFill="1" applyBorder="1" applyAlignment="1">
      <alignment horizontal="right"/>
    </xf>
    <xf numFmtId="164" fontId="5" fillId="0" borderId="0" xfId="2" applyFont="1" applyAlignment="1">
      <alignment horizontal="right"/>
    </xf>
    <xf numFmtId="43" fontId="5" fillId="2" borderId="0" xfId="2" applyNumberFormat="1" applyFont="1" applyFill="1" applyBorder="1" applyAlignment="1">
      <alignment horizontal="right"/>
    </xf>
    <xf numFmtId="43" fontId="5" fillId="0" borderId="0" xfId="2" applyNumberFormat="1" applyFont="1" applyAlignment="1">
      <alignment horizontal="right"/>
    </xf>
    <xf numFmtId="166" fontId="5" fillId="0" borderId="0" xfId="2" applyNumberFormat="1" applyFont="1" applyBorder="1" applyAlignment="1">
      <alignment horizontal="right"/>
    </xf>
    <xf numFmtId="166" fontId="5" fillId="2" borderId="0" xfId="2" applyNumberFormat="1" applyFont="1" applyFill="1" applyBorder="1" applyAlignment="1">
      <alignment horizontal="right"/>
    </xf>
    <xf numFmtId="166" fontId="5" fillId="0" borderId="0" xfId="2" applyNumberFormat="1" applyFont="1" applyFill="1" applyAlignment="1">
      <alignment horizontal="right"/>
    </xf>
    <xf numFmtId="43" fontId="4" fillId="0" borderId="0" xfId="0" applyNumberFormat="1" applyFont="1" applyAlignment="1">
      <alignment horizontal="center"/>
    </xf>
    <xf numFmtId="167" fontId="5" fillId="2" borderId="0" xfId="2" applyNumberFormat="1" applyFont="1" applyFill="1" applyBorder="1" applyAlignment="1">
      <alignment horizontal="right"/>
    </xf>
    <xf numFmtId="166" fontId="5" fillId="0" borderId="0" xfId="2" applyNumberFormat="1" applyFont="1" applyFill="1" applyAlignment="1">
      <alignment horizontal="right" vertical="center"/>
    </xf>
    <xf numFmtId="166" fontId="6" fillId="0" borderId="0" xfId="2" applyNumberFormat="1" applyFont="1" applyFill="1" applyBorder="1"/>
    <xf numFmtId="166" fontId="6" fillId="0" borderId="1" xfId="2" applyNumberFormat="1" applyFont="1" applyBorder="1"/>
    <xf numFmtId="166" fontId="6" fillId="0" borderId="0" xfId="2" applyNumberFormat="1" applyFont="1" applyFill="1" applyBorder="1" applyAlignment="1">
      <alignment horizontal="right"/>
    </xf>
    <xf numFmtId="166" fontId="6" fillId="0" borderId="1" xfId="2" applyNumberFormat="1" applyFont="1" applyFill="1" applyBorder="1" applyAlignment="1">
      <alignment horizontal="right"/>
    </xf>
    <xf numFmtId="166" fontId="6" fillId="2" borderId="0" xfId="2" applyNumberFormat="1" applyFont="1" applyFill="1" applyBorder="1" applyAlignment="1">
      <alignment horizontal="right"/>
    </xf>
    <xf numFmtId="166" fontId="6" fillId="0" borderId="1" xfId="2" applyNumberFormat="1" applyFont="1" applyFill="1" applyBorder="1" applyAlignment="1">
      <alignment horizontal="right" vertical="center"/>
    </xf>
    <xf numFmtId="0" fontId="7" fillId="0" borderId="0" xfId="0" applyFont="1" applyAlignment="1">
      <alignment vertical="center"/>
    </xf>
    <xf numFmtId="166" fontId="6" fillId="0" borderId="0" xfId="2" applyNumberFormat="1" applyFont="1" applyFill="1" applyBorder="1" applyAlignment="1">
      <alignment vertical="center" wrapText="1"/>
    </xf>
    <xf numFmtId="164" fontId="7" fillId="0" borderId="0" xfId="0" applyNumberFormat="1" applyFont="1" applyFill="1"/>
    <xf numFmtId="166" fontId="6" fillId="0" borderId="2" xfId="2" applyNumberFormat="1" applyFont="1" applyBorder="1" applyAlignment="1">
      <alignment vertical="center" wrapText="1"/>
    </xf>
    <xf numFmtId="166" fontId="6" fillId="0" borderId="0" xfId="2" applyNumberFormat="1" applyFont="1" applyFill="1" applyBorder="1" applyAlignment="1">
      <alignment horizontal="right" vertical="center" wrapText="1"/>
    </xf>
    <xf numFmtId="166" fontId="6" fillId="0" borderId="2" xfId="2" applyNumberFormat="1" applyFont="1" applyFill="1" applyBorder="1" applyAlignment="1">
      <alignment horizontal="right" vertical="center" wrapText="1"/>
    </xf>
    <xf numFmtId="166" fontId="6" fillId="2" borderId="0" xfId="2" applyNumberFormat="1" applyFont="1" applyFill="1" applyBorder="1" applyAlignment="1">
      <alignment horizontal="right" vertical="center" wrapText="1"/>
    </xf>
    <xf numFmtId="0" fontId="8" fillId="0" borderId="0" xfId="0" applyFont="1" applyAlignment="1">
      <alignment vertical="center" wrapText="1"/>
    </xf>
    <xf numFmtId="166" fontId="4" fillId="0" borderId="0" xfId="0" applyNumberFormat="1" applyFont="1" applyFill="1" applyBorder="1"/>
    <xf numFmtId="166" fontId="7" fillId="2" borderId="0" xfId="0" applyNumberFormat="1" applyFont="1" applyFill="1"/>
    <xf numFmtId="0" fontId="4" fillId="2" borderId="0" xfId="0" applyFont="1" applyFill="1"/>
    <xf numFmtId="165" fontId="4" fillId="2" borderId="0" xfId="1" applyNumberFormat="1" applyFont="1" applyFill="1"/>
    <xf numFmtId="166" fontId="4" fillId="2" borderId="0" xfId="2" applyNumberFormat="1" applyFont="1" applyFill="1" applyAlignment="1">
      <alignment vertical="center" wrapText="1"/>
    </xf>
    <xf numFmtId="166" fontId="4" fillId="2" borderId="0" xfId="2" applyNumberFormat="1" applyFont="1" applyFill="1" applyBorder="1" applyAlignment="1">
      <alignment horizontal="right" vertical="center" wrapText="1"/>
    </xf>
    <xf numFmtId="166" fontId="4" fillId="2" borderId="0" xfId="2" applyNumberFormat="1" applyFont="1" applyFill="1" applyAlignment="1">
      <alignment horizontal="right" vertical="center" wrapText="1"/>
    </xf>
    <xf numFmtId="0" fontId="7" fillId="2" borderId="0" xfId="0" applyFont="1" applyFill="1" applyAlignment="1">
      <alignment horizontal="left" vertical="center" wrapText="1"/>
    </xf>
    <xf numFmtId="164" fontId="4" fillId="2" borderId="0" xfId="2" applyFont="1" applyFill="1"/>
    <xf numFmtId="164" fontId="9" fillId="0" borderId="0" xfId="2" applyFont="1" applyFill="1"/>
    <xf numFmtId="166" fontId="4" fillId="0" borderId="0" xfId="2" applyNumberFormat="1" applyFont="1" applyBorder="1" applyAlignment="1">
      <alignment horizontal="right" vertical="center" wrapText="1"/>
    </xf>
    <xf numFmtId="166" fontId="5" fillId="2" borderId="0" xfId="2" applyNumberFormat="1" applyFont="1" applyFill="1" applyBorder="1" applyAlignment="1">
      <alignment horizontal="right" vertical="center" wrapText="1"/>
    </xf>
    <xf numFmtId="166" fontId="5" fillId="0" borderId="0" xfId="2" applyNumberFormat="1" applyFont="1" applyFill="1" applyAlignment="1">
      <alignment horizontal="right" vertical="center" wrapText="1"/>
    </xf>
    <xf numFmtId="166" fontId="10" fillId="0" borderId="0" xfId="2" applyNumberFormat="1" applyFont="1" applyBorder="1" applyAlignment="1">
      <alignment horizontal="right" vertical="center" wrapText="1"/>
    </xf>
    <xf numFmtId="166" fontId="11" fillId="2" borderId="0" xfId="2" applyNumberFormat="1" applyFont="1" applyFill="1" applyBorder="1" applyAlignment="1">
      <alignment horizontal="right" vertical="center" wrapText="1"/>
    </xf>
    <xf numFmtId="166" fontId="11" fillId="0" borderId="0" xfId="2" applyNumberFormat="1" applyFont="1" applyFill="1" applyAlignment="1">
      <alignment horizontal="right" vertical="center" wrapText="1"/>
    </xf>
    <xf numFmtId="43" fontId="4" fillId="0" borderId="0" xfId="0" applyNumberFormat="1" applyFont="1"/>
    <xf numFmtId="164" fontId="7" fillId="0" borderId="0" xfId="2" applyFont="1" applyFill="1"/>
    <xf numFmtId="166" fontId="11" fillId="0" borderId="0" xfId="2" applyNumberFormat="1" applyFont="1" applyFill="1" applyBorder="1" applyAlignment="1">
      <alignment vertical="center" wrapText="1"/>
    </xf>
    <xf numFmtId="43" fontId="7" fillId="0" borderId="0" xfId="0" applyNumberFormat="1" applyFont="1" applyFill="1"/>
    <xf numFmtId="166" fontId="11" fillId="0" borderId="0" xfId="2" applyNumberFormat="1" applyFont="1" applyAlignment="1">
      <alignment vertical="center" wrapText="1"/>
    </xf>
    <xf numFmtId="166" fontId="8" fillId="0" borderId="0" xfId="2" applyNumberFormat="1" applyFont="1" applyFill="1" applyBorder="1" applyAlignment="1">
      <alignment horizontal="right" vertical="center" wrapText="1"/>
    </xf>
    <xf numFmtId="166" fontId="8" fillId="0" borderId="3" xfId="2" applyNumberFormat="1" applyFont="1" applyFill="1" applyBorder="1" applyAlignment="1">
      <alignment horizontal="right" vertical="center" wrapText="1"/>
    </xf>
    <xf numFmtId="166" fontId="8" fillId="2" borderId="0" xfId="2" applyNumberFormat="1" applyFont="1" applyFill="1" applyBorder="1" applyAlignment="1">
      <alignment horizontal="right" vertical="center" wrapText="1"/>
    </xf>
    <xf numFmtId="166" fontId="10" fillId="0" borderId="0" xfId="2" applyNumberFormat="1" applyFont="1" applyFill="1" applyBorder="1" applyAlignment="1">
      <alignment vertical="center" wrapText="1"/>
    </xf>
    <xf numFmtId="43" fontId="4" fillId="0" borderId="0" xfId="0" applyNumberFormat="1" applyFont="1" applyFill="1"/>
    <xf numFmtId="166" fontId="10" fillId="0" borderId="0" xfId="2" applyNumberFormat="1" applyFont="1" applyAlignment="1">
      <alignment vertical="center" wrapText="1"/>
    </xf>
    <xf numFmtId="166" fontId="8" fillId="0" borderId="0" xfId="2" applyNumberFormat="1" applyFont="1" applyBorder="1" applyAlignment="1">
      <alignment horizontal="right" vertical="center" wrapText="1"/>
    </xf>
    <xf numFmtId="166" fontId="8" fillId="0" borderId="4" xfId="2" applyNumberFormat="1" applyFont="1" applyBorder="1" applyAlignment="1">
      <alignment horizontal="right" vertical="center" wrapText="1"/>
    </xf>
    <xf numFmtId="43" fontId="4" fillId="0" borderId="0" xfId="0" applyNumberFormat="1" applyFont="1" applyFill="1" applyBorder="1"/>
    <xf numFmtId="164" fontId="12" fillId="0" borderId="0" xfId="2" applyFont="1" applyBorder="1" applyAlignment="1">
      <alignment horizontal="right" vertical="center" wrapText="1"/>
    </xf>
    <xf numFmtId="164" fontId="12" fillId="0" borderId="5" xfId="2" applyFont="1" applyBorder="1" applyAlignment="1">
      <alignment horizontal="right" vertical="center" wrapText="1"/>
    </xf>
    <xf numFmtId="166" fontId="5" fillId="2" borderId="5" xfId="2" applyNumberFormat="1" applyFont="1" applyFill="1" applyBorder="1" applyAlignment="1">
      <alignment horizontal="right" vertical="center" wrapText="1"/>
    </xf>
    <xf numFmtId="0" fontId="12" fillId="0" borderId="0" xfId="0" applyFont="1" applyAlignment="1">
      <alignment horizontal="left" vertical="center" wrapText="1"/>
    </xf>
    <xf numFmtId="164" fontId="4" fillId="0" borderId="0" xfId="0" applyNumberFormat="1" applyFont="1" applyAlignment="1">
      <alignment horizontal="center"/>
    </xf>
    <xf numFmtId="166" fontId="4" fillId="0" borderId="0" xfId="0" applyNumberFormat="1" applyFont="1"/>
    <xf numFmtId="166" fontId="10" fillId="2" borderId="0" xfId="2" applyNumberFormat="1" applyFont="1" applyFill="1" applyBorder="1" applyAlignment="1">
      <alignment horizontal="right" vertical="center" wrapText="1"/>
    </xf>
    <xf numFmtId="166" fontId="12" fillId="0" borderId="5" xfId="2" applyNumberFormat="1" applyFont="1" applyBorder="1" applyAlignment="1">
      <alignment horizontal="right" vertical="center" wrapText="1"/>
    </xf>
    <xf numFmtId="166" fontId="12" fillId="0" borderId="0" xfId="2" applyNumberFormat="1" applyFont="1" applyBorder="1" applyAlignment="1">
      <alignment horizontal="right" vertical="center" wrapText="1"/>
    </xf>
    <xf numFmtId="164" fontId="4" fillId="0" borderId="0" xfId="2" applyFont="1" applyFill="1" applyAlignment="1">
      <alignment horizontal="center"/>
    </xf>
    <xf numFmtId="166" fontId="5" fillId="0" borderId="0" xfId="2" applyNumberFormat="1" applyFont="1" applyFill="1" applyBorder="1" applyAlignment="1">
      <alignment horizontal="right" vertical="center" wrapText="1"/>
    </xf>
    <xf numFmtId="166" fontId="5" fillId="2" borderId="0" xfId="2" applyNumberFormat="1" applyFont="1" applyFill="1" applyAlignment="1">
      <alignment horizontal="right" vertical="center" wrapText="1"/>
    </xf>
    <xf numFmtId="166" fontId="4" fillId="0" borderId="0" xfId="0" applyNumberFormat="1" applyFont="1" applyAlignment="1">
      <alignment horizontal="center"/>
    </xf>
    <xf numFmtId="166" fontId="12" fillId="2" borderId="0" xfId="2" applyNumberFormat="1" applyFont="1" applyFill="1" applyBorder="1" applyAlignment="1">
      <alignment horizontal="right" vertical="center" wrapText="1"/>
    </xf>
    <xf numFmtId="166" fontId="12" fillId="2" borderId="0" xfId="2" applyNumberFormat="1" applyFont="1" applyFill="1" applyAlignment="1">
      <alignment horizontal="right" vertical="center" wrapText="1"/>
    </xf>
    <xf numFmtId="9" fontId="4" fillId="0" borderId="0" xfId="1" applyFont="1"/>
    <xf numFmtId="166" fontId="4" fillId="0" borderId="0" xfId="2" applyNumberFormat="1" applyFont="1" applyFill="1" applyAlignment="1">
      <alignment horizontal="right" vertical="center" wrapText="1"/>
    </xf>
    <xf numFmtId="166" fontId="8" fillId="0" borderId="0" xfId="2" applyNumberFormat="1" applyFont="1" applyFill="1" applyBorder="1" applyAlignment="1">
      <alignment vertical="center" wrapText="1"/>
    </xf>
    <xf numFmtId="164" fontId="7" fillId="2" borderId="0" xfId="2" applyFont="1" applyFill="1"/>
    <xf numFmtId="43" fontId="4" fillId="2" borderId="0" xfId="0" applyNumberFormat="1" applyFont="1" applyFill="1"/>
    <xf numFmtId="166" fontId="8" fillId="2" borderId="6" xfId="2" applyNumberFormat="1" applyFont="1" applyFill="1" applyBorder="1" applyAlignment="1">
      <alignment vertical="center" wrapText="1"/>
    </xf>
    <xf numFmtId="166" fontId="8" fillId="2" borderId="3" xfId="2" applyNumberFormat="1" applyFont="1" applyFill="1" applyBorder="1" applyAlignment="1">
      <alignment horizontal="right" vertical="center" wrapText="1"/>
    </xf>
    <xf numFmtId="164" fontId="4" fillId="0" borderId="0" xfId="0" applyNumberFormat="1" applyFont="1"/>
    <xf numFmtId="164" fontId="7" fillId="0" borderId="0" xfId="2" applyFont="1" applyFill="1" applyBorder="1"/>
    <xf numFmtId="164" fontId="4" fillId="0" borderId="0" xfId="2" applyFont="1" applyFill="1" applyBorder="1"/>
    <xf numFmtId="165" fontId="4" fillId="3" borderId="0" xfId="1" applyNumberFormat="1" applyFont="1" applyFill="1"/>
    <xf numFmtId="166" fontId="5" fillId="0" borderId="5" xfId="2" applyNumberFormat="1" applyFont="1" applyBorder="1" applyAlignment="1">
      <alignment horizontal="right" vertical="center" wrapText="1"/>
    </xf>
    <xf numFmtId="0" fontId="5" fillId="0" borderId="0" xfId="0" applyFont="1" applyAlignment="1">
      <alignment horizontal="left" vertical="center" wrapText="1"/>
    </xf>
    <xf numFmtId="166" fontId="10" fillId="0" borderId="0" xfId="2" applyNumberFormat="1" applyFont="1" applyAlignment="1">
      <alignment horizontal="right" vertical="center" wrapText="1"/>
    </xf>
    <xf numFmtId="41" fontId="7" fillId="0" borderId="0" xfId="0" applyNumberFormat="1" applyFont="1" applyFill="1" applyBorder="1"/>
    <xf numFmtId="166" fontId="7" fillId="0" borderId="0" xfId="2" applyNumberFormat="1" applyFont="1" applyBorder="1" applyAlignment="1">
      <alignment horizontal="right" vertical="center" wrapText="1"/>
    </xf>
    <xf numFmtId="166" fontId="7" fillId="0" borderId="4" xfId="2" applyNumberFormat="1" applyFont="1" applyBorder="1" applyAlignment="1">
      <alignment horizontal="right" vertical="center" wrapText="1"/>
    </xf>
    <xf numFmtId="166" fontId="13" fillId="2" borderId="0" xfId="2" applyNumberFormat="1" applyFont="1" applyFill="1" applyBorder="1" applyAlignment="1">
      <alignment horizontal="right" vertical="center" wrapText="1"/>
    </xf>
    <xf numFmtId="0" fontId="7" fillId="0" borderId="0" xfId="0" applyFont="1" applyAlignment="1">
      <alignment vertical="center" wrapText="1"/>
    </xf>
    <xf numFmtId="165" fontId="4" fillId="4" borderId="0" xfId="1" applyNumberFormat="1" applyFont="1" applyFill="1"/>
    <xf numFmtId="166" fontId="4" fillId="0" borderId="5" xfId="2" applyNumberFormat="1" applyFont="1" applyBorder="1" applyAlignment="1">
      <alignment horizontal="right" vertical="center" wrapText="1"/>
    </xf>
    <xf numFmtId="0" fontId="4" fillId="0" borderId="0" xfId="0" applyFont="1" applyAlignment="1">
      <alignment horizontal="left" vertical="center" wrapText="1"/>
    </xf>
    <xf numFmtId="164" fontId="4" fillId="0" borderId="0" xfId="0" applyNumberFormat="1" applyFont="1" applyFill="1" applyAlignment="1">
      <alignment horizontal="center"/>
    </xf>
    <xf numFmtId="166" fontId="12" fillId="0" borderId="0" xfId="2" applyNumberFormat="1" applyFont="1" applyAlignment="1">
      <alignment horizontal="right" vertical="center" wrapText="1"/>
    </xf>
    <xf numFmtId="166" fontId="4" fillId="0" borderId="0" xfId="2" applyNumberFormat="1" applyFont="1" applyAlignment="1">
      <alignment horizontal="right" vertical="center" wrapText="1"/>
    </xf>
    <xf numFmtId="164" fontId="4" fillId="0" borderId="0" xfId="2" applyFont="1" applyBorder="1" applyAlignment="1">
      <alignment horizontal="right" vertical="center" wrapText="1"/>
    </xf>
    <xf numFmtId="0" fontId="4" fillId="2" borderId="0" xfId="0" applyFont="1" applyFill="1" applyBorder="1" applyAlignment="1">
      <alignment horizontal="right" vertical="center" wrapText="1"/>
    </xf>
    <xf numFmtId="0" fontId="4" fillId="0" borderId="0" xfId="0" applyFont="1" applyAlignment="1">
      <alignment horizontal="right" vertical="center" wrapText="1"/>
    </xf>
    <xf numFmtId="0" fontId="4" fillId="0" borderId="0" xfId="0" applyFont="1" applyAlignment="1"/>
    <xf numFmtId="164" fontId="4" fillId="0" borderId="0" xfId="2" applyFont="1" applyFill="1" applyAlignment="1"/>
    <xf numFmtId="0" fontId="4" fillId="0" borderId="0" xfId="0" applyFont="1" applyFill="1" applyBorder="1" applyAlignment="1"/>
    <xf numFmtId="0" fontId="4" fillId="0" borderId="0" xfId="0" applyFont="1" applyFill="1" applyAlignment="1"/>
    <xf numFmtId="165" fontId="12" fillId="0" borderId="0" xfId="1" applyNumberFormat="1" applyFont="1" applyAlignment="1">
      <alignment vertical="center" wrapText="1"/>
    </xf>
    <xf numFmtId="0" fontId="8" fillId="0" borderId="0" xfId="0" applyFont="1" applyFill="1" applyBorder="1" applyAlignment="1">
      <alignment horizontal="center" vertical="center" wrapText="1"/>
    </xf>
    <xf numFmtId="0" fontId="14" fillId="0" borderId="0" xfId="0" applyFont="1" applyFill="1" applyAlignment="1">
      <alignment horizontal="center"/>
    </xf>
    <xf numFmtId="0" fontId="14" fillId="0" borderId="0" xfId="0" applyFont="1" applyAlignment="1">
      <alignment horizontal="center"/>
    </xf>
    <xf numFmtId="0" fontId="8" fillId="0" borderId="0" xfId="0" applyFont="1" applyFill="1" applyBorder="1" applyAlignment="1">
      <alignment horizontal="center" vertical="center"/>
    </xf>
    <xf numFmtId="0" fontId="8" fillId="2" borderId="0" xfId="0" applyFont="1" applyFill="1" applyBorder="1" applyAlignment="1">
      <alignment horizontal="right" vertical="center"/>
    </xf>
    <xf numFmtId="0" fontId="8" fillId="0" borderId="0" xfId="0" applyFont="1" applyFill="1" applyAlignment="1">
      <alignment horizontal="center" vertical="center"/>
    </xf>
    <xf numFmtId="0" fontId="4" fillId="0" borderId="0" xfId="0" applyFont="1" applyAlignment="1">
      <alignment vertical="center" wrapText="1"/>
    </xf>
    <xf numFmtId="164" fontId="14" fillId="0" borderId="0" xfId="2" applyFont="1" applyBorder="1" applyAlignment="1">
      <alignment horizontal="right"/>
    </xf>
    <xf numFmtId="0" fontId="14" fillId="2" borderId="0" xfId="0" applyFont="1" applyFill="1" applyBorder="1" applyAlignment="1">
      <alignment horizontal="right"/>
    </xf>
    <xf numFmtId="0" fontId="14" fillId="0" borderId="0" xfId="0" applyFont="1" applyAlignment="1">
      <alignment horizontal="right"/>
    </xf>
    <xf numFmtId="0" fontId="14" fillId="0" borderId="0" xfId="0" applyFont="1" applyFill="1" applyAlignment="1"/>
    <xf numFmtId="0" fontId="14" fillId="0" borderId="0" xfId="0" applyFont="1" applyBorder="1" applyAlignment="1">
      <alignment horizontal="center"/>
    </xf>
    <xf numFmtId="0" fontId="15" fillId="0" borderId="0" xfId="0" applyFont="1" applyAlignment="1"/>
    <xf numFmtId="0" fontId="16" fillId="0" borderId="0" xfId="0" applyFont="1" applyAlignment="1"/>
    <xf numFmtId="0" fontId="16" fillId="0" borderId="0" xfId="0" applyFont="1"/>
    <xf numFmtId="164" fontId="16" fillId="0" borderId="0" xfId="2" applyFont="1" applyAlignment="1"/>
    <xf numFmtId="164" fontId="16" fillId="0" borderId="0" xfId="2" applyFont="1" applyBorder="1" applyAlignment="1"/>
    <xf numFmtId="0" fontId="16" fillId="0" borderId="0" xfId="0" applyFont="1" applyFill="1" applyAlignment="1"/>
    <xf numFmtId="4" fontId="16" fillId="0" borderId="0" xfId="0" applyNumberFormat="1" applyFont="1"/>
    <xf numFmtId="164" fontId="16" fillId="2" borderId="0" xfId="2" applyFont="1" applyFill="1" applyAlignment="1"/>
    <xf numFmtId="164" fontId="16" fillId="2" borderId="0" xfId="2" applyFont="1" applyFill="1" applyBorder="1" applyAlignment="1"/>
    <xf numFmtId="0" fontId="16" fillId="0" borderId="0" xfId="0" applyFont="1" applyBorder="1" applyAlignment="1"/>
    <xf numFmtId="0" fontId="17" fillId="0" borderId="0" xfId="0" applyFont="1" applyFill="1" applyAlignment="1">
      <alignment horizontal="center" vertical="center"/>
    </xf>
    <xf numFmtId="0" fontId="17" fillId="0" borderId="0" xfId="0" applyFont="1" applyFill="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left" vertical="center"/>
    </xf>
    <xf numFmtId="164" fontId="16" fillId="0" borderId="0" xfId="2" applyFont="1" applyAlignment="1">
      <alignment horizontal="right"/>
    </xf>
    <xf numFmtId="164" fontId="16" fillId="0" borderId="0" xfId="2" applyFont="1" applyBorder="1" applyAlignment="1">
      <alignment horizontal="right"/>
    </xf>
    <xf numFmtId="164" fontId="16" fillId="0" borderId="0" xfId="2" applyFont="1" applyAlignment="1">
      <alignment horizontal="center"/>
    </xf>
    <xf numFmtId="0" fontId="18" fillId="0" borderId="0" xfId="0" applyFont="1" applyAlignment="1">
      <alignment horizontal="left" vertical="center"/>
    </xf>
    <xf numFmtId="166" fontId="18" fillId="0" borderId="0" xfId="2" applyNumberFormat="1" applyFont="1" applyFill="1" applyAlignment="1">
      <alignment horizontal="right" vertical="center"/>
    </xf>
    <xf numFmtId="166" fontId="18" fillId="0" borderId="0" xfId="2" applyNumberFormat="1" applyFont="1" applyFill="1" applyBorder="1" applyAlignment="1">
      <alignment horizontal="right" vertical="center"/>
    </xf>
    <xf numFmtId="166" fontId="18" fillId="0" borderId="0" xfId="2" applyNumberFormat="1" applyFont="1" applyFill="1" applyAlignment="1">
      <alignment horizontal="center" vertical="center"/>
    </xf>
    <xf numFmtId="9" fontId="18" fillId="0" borderId="0" xfId="1" applyFont="1" applyFill="1" applyAlignment="1">
      <alignment horizontal="center" vertical="center"/>
    </xf>
    <xf numFmtId="166" fontId="16" fillId="0" borderId="0" xfId="0" applyNumberFormat="1" applyFont="1"/>
    <xf numFmtId="164" fontId="16" fillId="0" borderId="0" xfId="2" applyFont="1"/>
    <xf numFmtId="43" fontId="16" fillId="0" borderId="0" xfId="0" applyNumberFormat="1" applyFont="1"/>
    <xf numFmtId="166" fontId="18" fillId="2" borderId="0" xfId="2" applyNumberFormat="1" applyFont="1" applyFill="1" applyAlignment="1">
      <alignment horizontal="right" vertical="center"/>
    </xf>
    <xf numFmtId="166" fontId="18" fillId="2" borderId="0" xfId="2" applyNumberFormat="1" applyFont="1" applyFill="1" applyBorder="1" applyAlignment="1">
      <alignment horizontal="right" vertical="center"/>
    </xf>
    <xf numFmtId="166" fontId="18" fillId="2" borderId="5" xfId="2" applyNumberFormat="1" applyFont="1" applyFill="1" applyBorder="1" applyAlignment="1">
      <alignment horizontal="right" vertical="center"/>
    </xf>
    <xf numFmtId="166" fontId="18" fillId="0" borderId="5" xfId="2" applyNumberFormat="1" applyFont="1" applyFill="1" applyBorder="1" applyAlignment="1">
      <alignment horizontal="right" vertical="center"/>
    </xf>
    <xf numFmtId="166" fontId="18" fillId="0" borderId="5" xfId="2" applyNumberFormat="1" applyFont="1" applyFill="1" applyBorder="1" applyAlignment="1">
      <alignment horizontal="center" vertical="center"/>
    </xf>
    <xf numFmtId="166" fontId="17" fillId="2" borderId="4" xfId="2" applyNumberFormat="1" applyFont="1" applyFill="1" applyBorder="1" applyAlignment="1">
      <alignment horizontal="right" vertical="center"/>
    </xf>
    <xf numFmtId="166" fontId="17" fillId="2" borderId="0" xfId="2" applyNumberFormat="1" applyFont="1" applyFill="1" applyBorder="1" applyAlignment="1">
      <alignment horizontal="right" vertical="center"/>
    </xf>
    <xf numFmtId="166" fontId="17" fillId="0" borderId="4" xfId="2" applyNumberFormat="1" applyFont="1" applyFill="1" applyBorder="1" applyAlignment="1">
      <alignment horizontal="right" vertical="center"/>
    </xf>
    <xf numFmtId="166" fontId="19" fillId="0" borderId="0" xfId="2" applyNumberFormat="1" applyFont="1" applyFill="1" applyBorder="1" applyAlignment="1">
      <alignment horizontal="center" vertical="center"/>
    </xf>
    <xf numFmtId="166" fontId="17" fillId="0" borderId="0" xfId="2" applyNumberFormat="1" applyFont="1" applyFill="1" applyBorder="1" applyAlignment="1">
      <alignment horizontal="center" vertical="center"/>
    </xf>
    <xf numFmtId="9" fontId="16" fillId="0" borderId="0" xfId="1" applyFont="1"/>
    <xf numFmtId="168" fontId="16" fillId="0" borderId="0" xfId="2" applyNumberFormat="1" applyFont="1"/>
    <xf numFmtId="0" fontId="16" fillId="0" borderId="0" xfId="0" applyFont="1" applyAlignment="1">
      <alignment horizontal="left" vertical="center"/>
    </xf>
    <xf numFmtId="166" fontId="16" fillId="2" borderId="0" xfId="2" applyNumberFormat="1" applyFont="1" applyFill="1" applyBorder="1" applyAlignment="1">
      <alignment horizontal="right"/>
    </xf>
    <xf numFmtId="166" fontId="16" fillId="0" borderId="0" xfId="2" applyNumberFormat="1" applyFont="1" applyFill="1" applyBorder="1" applyAlignment="1">
      <alignment horizontal="right"/>
    </xf>
    <xf numFmtId="166" fontId="16" fillId="0" borderId="0" xfId="2" applyNumberFormat="1" applyFont="1" applyFill="1" applyBorder="1"/>
    <xf numFmtId="0" fontId="17" fillId="0" borderId="0" xfId="0" applyFont="1" applyFill="1" applyAlignment="1">
      <alignment vertical="center"/>
    </xf>
    <xf numFmtId="166" fontId="16" fillId="0" borderId="0" xfId="2" applyNumberFormat="1" applyFont="1" applyFill="1" applyAlignment="1">
      <alignment horizontal="right"/>
    </xf>
    <xf numFmtId="166" fontId="16" fillId="0" borderId="0" xfId="2" applyNumberFormat="1" applyFont="1" applyFill="1"/>
    <xf numFmtId="0" fontId="18" fillId="0" borderId="0" xfId="0" applyFont="1" applyFill="1" applyAlignment="1">
      <alignment horizontal="left" vertical="center"/>
    </xf>
    <xf numFmtId="9" fontId="18" fillId="3" borderId="0" xfId="1" applyFont="1" applyFill="1" applyAlignment="1">
      <alignment horizontal="center" vertical="center"/>
    </xf>
    <xf numFmtId="166" fontId="16" fillId="4" borderId="0" xfId="0" applyNumberFormat="1" applyFont="1" applyFill="1"/>
    <xf numFmtId="9" fontId="18" fillId="0" borderId="5" xfId="1" applyFont="1" applyFill="1" applyBorder="1" applyAlignment="1">
      <alignment horizontal="center" vertical="center"/>
    </xf>
    <xf numFmtId="0" fontId="17" fillId="0" borderId="0" xfId="0" applyFont="1" applyFill="1" applyAlignment="1">
      <alignment horizontal="left" vertical="center"/>
    </xf>
    <xf numFmtId="166" fontId="17" fillId="0" borderId="0" xfId="2" applyNumberFormat="1" applyFont="1" applyFill="1" applyBorder="1" applyAlignment="1">
      <alignment horizontal="right" vertical="center"/>
    </xf>
    <xf numFmtId="10" fontId="18" fillId="0" borderId="0" xfId="1" applyNumberFormat="1" applyFont="1" applyFill="1" applyAlignment="1">
      <alignment horizontal="center" vertical="center"/>
    </xf>
    <xf numFmtId="0" fontId="16" fillId="0" borderId="0" xfId="0" applyFont="1" applyFill="1" applyAlignment="1">
      <alignment horizontal="left" vertical="center"/>
    </xf>
    <xf numFmtId="164" fontId="16" fillId="0" borderId="0" xfId="0" applyNumberFormat="1" applyFont="1"/>
    <xf numFmtId="9" fontId="16" fillId="0" borderId="0" xfId="1" applyFont="1" applyFill="1" applyBorder="1"/>
    <xf numFmtId="0" fontId="16" fillId="0" borderId="0" xfId="0" applyFont="1" applyAlignment="1">
      <alignment horizontal="left"/>
    </xf>
    <xf numFmtId="0" fontId="17" fillId="2" borderId="0" xfId="0" applyFont="1" applyFill="1" applyAlignment="1">
      <alignment horizontal="left" vertical="center"/>
    </xf>
    <xf numFmtId="166" fontId="17" fillId="2" borderId="6" xfId="2" applyNumberFormat="1" applyFont="1" applyFill="1" applyBorder="1" applyAlignment="1">
      <alignment horizontal="right" vertical="center"/>
    </xf>
    <xf numFmtId="166" fontId="17" fillId="0" borderId="6" xfId="2" applyNumberFormat="1" applyFont="1" applyFill="1" applyBorder="1" applyAlignment="1">
      <alignment horizontal="right" vertical="center"/>
    </xf>
    <xf numFmtId="166" fontId="17" fillId="0" borderId="7" xfId="2" applyNumberFormat="1" applyFont="1" applyFill="1" applyBorder="1" applyAlignment="1">
      <alignment horizontal="center" vertical="center"/>
    </xf>
    <xf numFmtId="9" fontId="17" fillId="0" borderId="7" xfId="1" applyFont="1" applyFill="1" applyBorder="1" applyAlignment="1">
      <alignment horizontal="center" vertical="center"/>
    </xf>
    <xf numFmtId="9" fontId="17" fillId="0" borderId="0" xfId="1" applyFont="1" applyFill="1" applyBorder="1" applyAlignment="1">
      <alignment horizontal="center" vertical="center"/>
    </xf>
    <xf numFmtId="0" fontId="20" fillId="0" borderId="0" xfId="0" applyFont="1" applyAlignment="1">
      <alignment horizontal="left" vertical="center"/>
    </xf>
    <xf numFmtId="164" fontId="16" fillId="0" borderId="0" xfId="2" applyFont="1" applyFill="1"/>
    <xf numFmtId="164" fontId="16" fillId="0" borderId="0" xfId="2" applyFont="1" applyFill="1" applyBorder="1"/>
    <xf numFmtId="0" fontId="18" fillId="0" borderId="0" xfId="0" applyFont="1" applyAlignment="1">
      <alignment vertical="center"/>
    </xf>
    <xf numFmtId="0" fontId="16" fillId="0" borderId="0" xfId="0" applyFont="1" applyAlignment="1">
      <alignment vertical="center"/>
    </xf>
    <xf numFmtId="164" fontId="16" fillId="0" borderId="0" xfId="2" applyFont="1" applyBorder="1"/>
    <xf numFmtId="0" fontId="16" fillId="0" borderId="0" xfId="0" applyFont="1" applyFill="1"/>
    <xf numFmtId="0" fontId="14" fillId="0" borderId="0" xfId="0" applyFont="1" applyAlignment="1">
      <alignment horizontal="center" vertical="center"/>
    </xf>
    <xf numFmtId="0" fontId="14" fillId="0" borderId="0" xfId="0" applyFont="1" applyAlignment="1"/>
    <xf numFmtId="0" fontId="23" fillId="0" borderId="0" xfId="0" applyFont="1" applyAlignment="1"/>
    <xf numFmtId="0" fontId="14" fillId="0" borderId="0" xfId="0" applyFont="1" applyAlignment="1">
      <alignment vertical="center"/>
    </xf>
    <xf numFmtId="0" fontId="7" fillId="0" borderId="0" xfId="0" applyFont="1" applyAlignment="1"/>
    <xf numFmtId="0" fontId="7" fillId="0" borderId="0" xfId="0" applyFont="1" applyAlignment="1">
      <alignment horizontal="center"/>
    </xf>
    <xf numFmtId="0" fontId="7" fillId="0" borderId="0" xfId="0" applyFont="1" applyBorder="1" applyAlignment="1">
      <alignment horizontal="center"/>
    </xf>
    <xf numFmtId="0" fontId="7" fillId="0" borderId="0" xfId="0" applyFont="1" applyAlignment="1">
      <alignment horizontal="right"/>
    </xf>
    <xf numFmtId="0" fontId="8" fillId="0" borderId="0" xfId="0" applyFont="1" applyAlignment="1">
      <alignment horizontal="right" vertical="center" wrapText="1" indent="2"/>
    </xf>
    <xf numFmtId="0" fontId="12" fillId="0" borderId="0" xfId="0" applyFont="1" applyBorder="1" applyAlignment="1">
      <alignment horizontal="left" vertical="center" wrapText="1" indent="2"/>
    </xf>
    <xf numFmtId="0" fontId="8" fillId="0" borderId="0" xfId="0" applyFont="1" applyAlignment="1">
      <alignment horizontal="left" vertical="center" wrapText="1" indent="2"/>
    </xf>
    <xf numFmtId="0" fontId="8" fillId="0" borderId="0" xfId="0" applyFont="1" applyAlignment="1">
      <alignment horizontal="center" vertical="center" wrapText="1"/>
    </xf>
    <xf numFmtId="0" fontId="23" fillId="0" borderId="0" xfId="0" applyFont="1"/>
    <xf numFmtId="0" fontId="4" fillId="0" borderId="0" xfId="0" applyFont="1" applyAlignment="1">
      <alignment vertical="top" wrapText="1"/>
    </xf>
    <xf numFmtId="0" fontId="4" fillId="0" borderId="0" xfId="0" applyFont="1" applyBorder="1" applyAlignment="1">
      <alignment vertical="top" wrapText="1"/>
    </xf>
    <xf numFmtId="0" fontId="12" fillId="0" borderId="0" xfId="0" applyFont="1" applyAlignment="1">
      <alignment horizontal="left" vertical="center" wrapText="1" indent="2"/>
    </xf>
    <xf numFmtId="0" fontId="4" fillId="0" borderId="0" xfId="0" applyFont="1" applyBorder="1"/>
    <xf numFmtId="0" fontId="4" fillId="0" borderId="0" xfId="0" applyFont="1" applyAlignment="1">
      <alignment horizontal="right" vertical="top" wrapText="1"/>
    </xf>
    <xf numFmtId="0" fontId="4" fillId="0" borderId="0" xfId="0" applyFont="1" applyAlignment="1">
      <alignment horizontal="center" vertical="top" wrapText="1"/>
    </xf>
    <xf numFmtId="0" fontId="4" fillId="0" borderId="0" xfId="0" applyFont="1" applyBorder="1" applyAlignment="1">
      <alignment vertical="center" wrapText="1"/>
    </xf>
    <xf numFmtId="0" fontId="4" fillId="0" borderId="0" xfId="0" applyFont="1" applyAlignment="1">
      <alignment horizontal="center" vertical="center" wrapText="1"/>
    </xf>
    <xf numFmtId="0" fontId="12" fillId="0" borderId="0" xfId="0" applyFont="1" applyAlignment="1">
      <alignment vertical="center" wrapText="1"/>
    </xf>
    <xf numFmtId="164" fontId="12" fillId="0" borderId="0" xfId="3" applyFont="1" applyBorder="1" applyAlignment="1">
      <alignment horizontal="center" vertical="center" wrapText="1"/>
    </xf>
    <xf numFmtId="166" fontId="12" fillId="0" borderId="0" xfId="3" applyNumberFormat="1" applyFont="1" applyBorder="1" applyAlignment="1">
      <alignment horizontal="right" vertical="center" wrapText="1"/>
    </xf>
    <xf numFmtId="166" fontId="12" fillId="0" borderId="0" xfId="3" applyNumberFormat="1" applyFont="1" applyBorder="1" applyAlignment="1">
      <alignment horizontal="center" vertical="center" wrapText="1"/>
    </xf>
    <xf numFmtId="164" fontId="4" fillId="0" borderId="0" xfId="3" applyFont="1" applyBorder="1" applyAlignment="1">
      <alignment vertical="top" wrapText="1"/>
    </xf>
    <xf numFmtId="164" fontId="4" fillId="0" borderId="0" xfId="3" applyFont="1" applyBorder="1" applyAlignment="1">
      <alignment vertical="center" wrapText="1"/>
    </xf>
    <xf numFmtId="166" fontId="4" fillId="0" borderId="0" xfId="3" applyNumberFormat="1" applyFont="1" applyBorder="1" applyAlignment="1">
      <alignment horizontal="right" vertical="center" wrapText="1"/>
    </xf>
    <xf numFmtId="166" fontId="4" fillId="0" borderId="0" xfId="3" applyNumberFormat="1" applyFont="1" applyBorder="1" applyAlignment="1">
      <alignment vertical="center" wrapText="1"/>
    </xf>
    <xf numFmtId="164" fontId="4" fillId="0" borderId="5" xfId="3" applyFont="1" applyBorder="1" applyAlignment="1">
      <alignment vertical="top" wrapText="1"/>
    </xf>
    <xf numFmtId="164" fontId="4" fillId="0" borderId="5" xfId="3" applyFont="1" applyBorder="1" applyAlignment="1">
      <alignment vertical="center" wrapText="1"/>
    </xf>
    <xf numFmtId="166" fontId="8" fillId="0" borderId="5" xfId="3" applyNumberFormat="1" applyFont="1" applyBorder="1" applyAlignment="1">
      <alignment horizontal="right" vertical="center" wrapText="1"/>
    </xf>
    <xf numFmtId="166" fontId="12" fillId="0" borderId="5" xfId="3" applyNumberFormat="1" applyFont="1" applyBorder="1" applyAlignment="1">
      <alignment horizontal="right" vertical="center" wrapText="1"/>
    </xf>
    <xf numFmtId="166" fontId="24" fillId="0" borderId="0" xfId="3" applyNumberFormat="1" applyFont="1" applyBorder="1" applyAlignment="1">
      <alignment horizontal="center" vertical="center" wrapText="1"/>
    </xf>
    <xf numFmtId="166" fontId="12" fillId="0" borderId="0" xfId="3" applyNumberFormat="1" applyFont="1" applyAlignment="1">
      <alignment horizontal="right" vertical="center" wrapText="1"/>
    </xf>
    <xf numFmtId="166" fontId="12" fillId="0" borderId="0" xfId="3" applyNumberFormat="1" applyFont="1" applyAlignment="1">
      <alignment horizontal="center" vertical="center" wrapText="1"/>
    </xf>
    <xf numFmtId="166" fontId="8" fillId="0" borderId="0" xfId="3" applyNumberFormat="1" applyFont="1" applyBorder="1" applyAlignment="1">
      <alignment horizontal="right" vertical="center" wrapText="1"/>
    </xf>
    <xf numFmtId="166" fontId="12" fillId="0" borderId="4" xfId="3" applyNumberFormat="1" applyFont="1" applyBorder="1" applyAlignment="1">
      <alignment horizontal="right" vertical="center" wrapText="1"/>
    </xf>
    <xf numFmtId="166" fontId="10" fillId="0" borderId="0" xfId="3" applyNumberFormat="1" applyFont="1" applyBorder="1" applyAlignment="1">
      <alignment horizontal="center" vertical="center" wrapText="1"/>
    </xf>
    <xf numFmtId="166" fontId="4" fillId="0" borderId="0" xfId="0" applyNumberFormat="1" applyFont="1" applyBorder="1" applyAlignment="1">
      <alignment horizontal="right"/>
    </xf>
    <xf numFmtId="166" fontId="4" fillId="0" borderId="0" xfId="0" applyNumberFormat="1" applyFont="1" applyBorder="1"/>
    <xf numFmtId="166" fontId="4" fillId="0" borderId="0" xfId="0" applyNumberFormat="1" applyFont="1" applyBorder="1" applyAlignment="1">
      <alignment horizontal="center"/>
    </xf>
    <xf numFmtId="164" fontId="4" fillId="0" borderId="0" xfId="3" applyFont="1" applyAlignment="1">
      <alignment vertical="top" wrapText="1"/>
    </xf>
    <xf numFmtId="164" fontId="12" fillId="0" borderId="0" xfId="3" applyFont="1" applyAlignment="1">
      <alignment horizontal="center" vertical="center" wrapText="1"/>
    </xf>
    <xf numFmtId="164" fontId="4" fillId="0" borderId="0" xfId="3" applyFont="1" applyAlignment="1">
      <alignment vertical="center" wrapText="1"/>
    </xf>
    <xf numFmtId="166" fontId="4" fillId="0" borderId="0" xfId="3" applyNumberFormat="1" applyFont="1" applyAlignment="1">
      <alignment horizontal="right" vertical="center" wrapText="1"/>
    </xf>
    <xf numFmtId="166" fontId="4" fillId="0" borderId="0" xfId="3" applyNumberFormat="1" applyFont="1" applyAlignment="1">
      <alignment vertical="center" wrapText="1"/>
    </xf>
    <xf numFmtId="164" fontId="4" fillId="0" borderId="5" xfId="3" applyFont="1" applyBorder="1" applyAlignment="1">
      <alignment horizontal="right" vertical="center" wrapText="1"/>
    </xf>
    <xf numFmtId="166" fontId="24" fillId="0" borderId="0" xfId="3" applyNumberFormat="1" applyFont="1" applyAlignment="1">
      <alignment horizontal="center" vertical="center" wrapText="1"/>
    </xf>
    <xf numFmtId="166" fontId="23" fillId="0" borderId="0" xfId="0" applyNumberFormat="1" applyFont="1"/>
    <xf numFmtId="0" fontId="23" fillId="0" borderId="0" xfId="0" applyFont="1" applyBorder="1"/>
    <xf numFmtId="164" fontId="23" fillId="0" borderId="0" xfId="3" applyFont="1" applyBorder="1" applyAlignment="1">
      <alignment horizontal="right"/>
    </xf>
    <xf numFmtId="164" fontId="23" fillId="0" borderId="0" xfId="3" applyFont="1" applyBorder="1"/>
    <xf numFmtId="166" fontId="23" fillId="0" borderId="0" xfId="0" applyNumberFormat="1" applyFont="1" applyBorder="1" applyAlignment="1">
      <alignment horizontal="center"/>
    </xf>
    <xf numFmtId="166" fontId="23" fillId="0" borderId="0" xfId="0" applyNumberFormat="1" applyFont="1" applyAlignment="1">
      <alignment horizontal="right"/>
    </xf>
    <xf numFmtId="0" fontId="23" fillId="0" borderId="0" xfId="0" applyFont="1" applyAlignment="1">
      <alignment horizontal="center"/>
    </xf>
    <xf numFmtId="0" fontId="23" fillId="0" borderId="0" xfId="0" applyFont="1" applyAlignment="1">
      <alignment horizontal="right"/>
    </xf>
    <xf numFmtId="0" fontId="25" fillId="0" borderId="0" xfId="0" applyFont="1"/>
    <xf numFmtId="0" fontId="26" fillId="0" borderId="0" xfId="0" applyFont="1" applyAlignment="1"/>
    <xf numFmtId="0" fontId="26" fillId="0" borderId="0" xfId="0" applyFont="1" applyBorder="1" applyAlignment="1"/>
    <xf numFmtId="0" fontId="0" fillId="0" borderId="0" xfId="0" applyFont="1" applyBorder="1" applyAlignment="1"/>
    <xf numFmtId="0" fontId="0" fillId="0" borderId="0" xfId="0" applyFont="1" applyAlignment="1"/>
    <xf numFmtId="0" fontId="27" fillId="0" borderId="0" xfId="0" applyFont="1" applyBorder="1" applyAlignment="1"/>
    <xf numFmtId="0" fontId="27" fillId="0" borderId="0" xfId="0" applyFont="1" applyAlignment="1"/>
    <xf numFmtId="0" fontId="27" fillId="0" borderId="0" xfId="0" applyFont="1"/>
    <xf numFmtId="0" fontId="27" fillId="0" borderId="0" xfId="0" applyFont="1" applyFill="1" applyAlignment="1"/>
    <xf numFmtId="164" fontId="27" fillId="0" borderId="0" xfId="2" applyFont="1" applyAlignment="1"/>
    <xf numFmtId="4" fontId="27" fillId="0" borderId="0" xfId="0" applyNumberFormat="1" applyFont="1"/>
    <xf numFmtId="0" fontId="27" fillId="0" borderId="0" xfId="0" applyFont="1" applyAlignment="1">
      <alignment vertical="center"/>
    </xf>
    <xf numFmtId="0" fontId="27" fillId="0" borderId="0" xfId="0" applyFont="1" applyBorder="1"/>
    <xf numFmtId="0" fontId="27" fillId="0" borderId="0" xfId="0" applyFont="1" applyFill="1"/>
    <xf numFmtId="164" fontId="27" fillId="0" borderId="0" xfId="2" applyFont="1"/>
    <xf numFmtId="0" fontId="28" fillId="0" borderId="0" xfId="0" applyFont="1" applyAlignment="1">
      <alignment vertical="center"/>
    </xf>
    <xf numFmtId="0" fontId="28" fillId="0" borderId="0" xfId="0" applyFont="1" applyAlignment="1">
      <alignment horizontal="left" vertical="center" indent="5"/>
    </xf>
    <xf numFmtId="0" fontId="28" fillId="0" borderId="0" xfId="0" applyFont="1" applyBorder="1" applyAlignment="1">
      <alignment horizontal="left" vertical="center" indent="5"/>
    </xf>
    <xf numFmtId="0" fontId="29" fillId="0" borderId="0" xfId="0" applyFont="1" applyAlignment="1">
      <alignment horizontal="center" vertical="center" wrapText="1"/>
    </xf>
    <xf numFmtId="0" fontId="29" fillId="0" borderId="0" xfId="0" applyFont="1" applyBorder="1" applyAlignment="1">
      <alignment horizontal="center" vertical="center" wrapText="1"/>
    </xf>
    <xf numFmtId="0" fontId="29" fillId="0" borderId="0" xfId="0" applyFont="1" applyAlignment="1">
      <alignment vertical="center" wrapText="1"/>
    </xf>
    <xf numFmtId="166" fontId="27" fillId="0" borderId="0" xfId="2" applyNumberFormat="1" applyFont="1"/>
    <xf numFmtId="166" fontId="29" fillId="0" borderId="0" xfId="2" applyNumberFormat="1" applyFont="1" applyBorder="1" applyAlignment="1">
      <alignment horizontal="center" vertical="center" wrapText="1"/>
    </xf>
    <xf numFmtId="43" fontId="27" fillId="0" borderId="0" xfId="0" applyNumberFormat="1" applyFont="1"/>
    <xf numFmtId="4" fontId="27" fillId="0" borderId="0" xfId="0" applyNumberFormat="1" applyFont="1" applyBorder="1" applyAlignment="1">
      <alignment horizontal="center" vertical="center"/>
    </xf>
    <xf numFmtId="164" fontId="27" fillId="0" borderId="0" xfId="2" applyFont="1" applyBorder="1"/>
    <xf numFmtId="0" fontId="27" fillId="0" borderId="0" xfId="0" applyFont="1" applyBorder="1" applyAlignment="1">
      <alignment horizontal="center" vertical="center"/>
    </xf>
    <xf numFmtId="0" fontId="29" fillId="0" borderId="0" xfId="0" applyFont="1" applyFill="1" applyAlignment="1">
      <alignment vertical="center" wrapText="1"/>
    </xf>
    <xf numFmtId="166" fontId="27" fillId="0" borderId="0" xfId="2" applyNumberFormat="1" applyFont="1" applyFill="1"/>
    <xf numFmtId="166" fontId="29" fillId="0" borderId="0" xfId="2" applyNumberFormat="1" applyFont="1" applyFill="1" applyBorder="1" applyAlignment="1">
      <alignment horizontal="center" vertical="center" wrapText="1"/>
    </xf>
    <xf numFmtId="164" fontId="27" fillId="0" borderId="0" xfId="2" applyFont="1" applyFill="1"/>
    <xf numFmtId="0" fontId="27" fillId="0" borderId="0" xfId="0" applyFont="1" applyFill="1" applyBorder="1" applyAlignment="1">
      <alignment horizontal="center" vertical="center"/>
    </xf>
    <xf numFmtId="164" fontId="27" fillId="0" borderId="0" xfId="2" applyFont="1" applyFill="1" applyBorder="1"/>
    <xf numFmtId="0" fontId="27" fillId="0" borderId="0" xfId="0" applyFont="1" applyFill="1" applyBorder="1"/>
    <xf numFmtId="164" fontId="27" fillId="0" borderId="0" xfId="2" applyFont="1" applyBorder="1" applyAlignment="1">
      <alignment horizontal="center" vertical="center"/>
    </xf>
    <xf numFmtId="43" fontId="27" fillId="0" borderId="0" xfId="0" applyNumberFormat="1" applyFont="1" applyBorder="1"/>
    <xf numFmtId="166" fontId="27" fillId="0" borderId="5" xfId="2" applyNumberFormat="1" applyFont="1" applyBorder="1"/>
    <xf numFmtId="164" fontId="27" fillId="0" borderId="0" xfId="0" applyNumberFormat="1" applyFont="1"/>
    <xf numFmtId="0" fontId="28" fillId="0" borderId="0" xfId="0" applyFont="1" applyAlignment="1">
      <alignment vertical="center" wrapText="1"/>
    </xf>
    <xf numFmtId="166" fontId="28" fillId="0" borderId="0" xfId="2" applyNumberFormat="1" applyFont="1" applyAlignment="1">
      <alignment horizontal="center" vertical="center" wrapText="1"/>
    </xf>
    <xf numFmtId="0" fontId="27" fillId="0" borderId="0" xfId="0" applyFont="1" applyAlignment="1">
      <alignment vertical="top" wrapText="1"/>
    </xf>
    <xf numFmtId="166" fontId="27" fillId="0" borderId="0" xfId="0" applyNumberFormat="1" applyFont="1" applyAlignment="1">
      <alignment vertical="center" wrapText="1"/>
    </xf>
    <xf numFmtId="166" fontId="27" fillId="0" borderId="0" xfId="0" applyNumberFormat="1" applyFont="1" applyBorder="1" applyAlignment="1">
      <alignment vertical="center" wrapText="1"/>
    </xf>
    <xf numFmtId="0" fontId="28" fillId="0" borderId="0" xfId="0" applyFont="1" applyAlignment="1">
      <alignment horizontal="left" vertical="center" wrapText="1"/>
    </xf>
    <xf numFmtId="166" fontId="29" fillId="0" borderId="0" xfId="0" applyNumberFormat="1" applyFont="1" applyAlignment="1">
      <alignment horizontal="justify" vertical="center" wrapText="1"/>
    </xf>
    <xf numFmtId="166" fontId="29" fillId="0" borderId="0" xfId="0" applyNumberFormat="1" applyFont="1" applyBorder="1" applyAlignment="1">
      <alignment horizontal="justify" vertical="center" wrapText="1"/>
    </xf>
    <xf numFmtId="0" fontId="29" fillId="0" borderId="0" xfId="0" applyFont="1" applyAlignment="1">
      <alignment horizontal="left" vertical="center" wrapText="1"/>
    </xf>
    <xf numFmtId="166" fontId="29" fillId="0" borderId="0" xfId="2" applyNumberFormat="1" applyFont="1" applyAlignment="1">
      <alignment horizontal="center" vertical="center" wrapText="1"/>
    </xf>
    <xf numFmtId="166" fontId="29" fillId="0" borderId="5" xfId="2" applyNumberFormat="1" applyFont="1" applyBorder="1" applyAlignment="1">
      <alignment horizontal="center" vertical="center" wrapText="1"/>
    </xf>
    <xf numFmtId="166" fontId="30" fillId="0" borderId="0" xfId="2" applyNumberFormat="1" applyFont="1" applyAlignment="1">
      <alignment horizontal="center" vertical="center" wrapText="1"/>
    </xf>
    <xf numFmtId="166" fontId="30" fillId="0" borderId="0" xfId="2" applyNumberFormat="1" applyFont="1" applyBorder="1" applyAlignment="1">
      <alignment horizontal="center" vertical="center" wrapText="1"/>
    </xf>
    <xf numFmtId="4" fontId="27" fillId="0" borderId="0" xfId="0" applyNumberFormat="1" applyFont="1" applyBorder="1"/>
    <xf numFmtId="166" fontId="27" fillId="0" borderId="0" xfId="2" applyNumberFormat="1" applyFont="1" applyAlignment="1">
      <alignment vertical="center" wrapText="1"/>
    </xf>
    <xf numFmtId="166" fontId="27" fillId="0" borderId="0" xfId="2" applyNumberFormat="1" applyFont="1" applyBorder="1" applyAlignment="1">
      <alignment vertical="center" wrapText="1"/>
    </xf>
    <xf numFmtId="166" fontId="28" fillId="0" borderId="0" xfId="2" applyNumberFormat="1" applyFont="1" applyBorder="1" applyAlignment="1">
      <alignment horizontal="center" vertical="center" wrapText="1"/>
    </xf>
    <xf numFmtId="166" fontId="27" fillId="0" borderId="0" xfId="0" applyNumberFormat="1" applyFont="1"/>
    <xf numFmtId="166" fontId="27" fillId="0" borderId="0" xfId="0" applyNumberFormat="1" applyFont="1" applyBorder="1"/>
    <xf numFmtId="166" fontId="29" fillId="0" borderId="0" xfId="0" applyNumberFormat="1" applyFont="1" applyAlignment="1">
      <alignment horizontal="center" vertical="center" wrapText="1"/>
    </xf>
    <xf numFmtId="166" fontId="30" fillId="0" borderId="0" xfId="0" applyNumberFormat="1" applyFont="1" applyAlignment="1">
      <alignment horizontal="center" vertical="center" wrapText="1"/>
    </xf>
    <xf numFmtId="166" fontId="30" fillId="0" borderId="0" xfId="0" applyNumberFormat="1" applyFont="1" applyBorder="1" applyAlignment="1">
      <alignment horizontal="center" vertical="center" wrapText="1"/>
    </xf>
    <xf numFmtId="166" fontId="31" fillId="0" borderId="0" xfId="0" applyNumberFormat="1" applyFont="1" applyAlignment="1">
      <alignment horizontal="center" vertical="center" wrapText="1"/>
    </xf>
    <xf numFmtId="166" fontId="27" fillId="0" borderId="0" xfId="2" applyNumberFormat="1" applyFont="1" applyAlignment="1">
      <alignment horizontal="center"/>
    </xf>
    <xf numFmtId="166" fontId="32" fillId="0" borderId="0" xfId="2" applyNumberFormat="1" applyFont="1"/>
    <xf numFmtId="43" fontId="27" fillId="0" borderId="0" xfId="0" applyNumberFormat="1" applyFont="1" applyFill="1"/>
    <xf numFmtId="169" fontId="33" fillId="0" borderId="0" xfId="0" applyNumberFormat="1" applyFont="1"/>
    <xf numFmtId="164" fontId="4" fillId="0" borderId="0" xfId="2" applyFont="1" applyBorder="1" applyAlignment="1"/>
    <xf numFmtId="166" fontId="14" fillId="0" borderId="0" xfId="2" applyNumberFormat="1" applyFont="1" applyAlignment="1">
      <alignment horizontal="center"/>
    </xf>
    <xf numFmtId="9" fontId="14" fillId="0" borderId="0" xfId="1" applyFont="1" applyAlignment="1">
      <alignment horizontal="center"/>
    </xf>
    <xf numFmtId="166" fontId="4" fillId="0" borderId="0" xfId="2" applyNumberFormat="1" applyFont="1" applyAlignment="1">
      <alignment vertical="center"/>
    </xf>
    <xf numFmtId="166" fontId="4" fillId="0" borderId="0" xfId="2" applyNumberFormat="1" applyFont="1" applyFill="1" applyAlignment="1"/>
    <xf numFmtId="9" fontId="4" fillId="0" borderId="0" xfId="1" applyFont="1" applyAlignment="1"/>
    <xf numFmtId="166" fontId="4" fillId="0" borderId="0" xfId="2" applyNumberFormat="1" applyFont="1" applyFill="1" applyAlignment="1">
      <alignment vertical="center"/>
    </xf>
    <xf numFmtId="9" fontId="4" fillId="0" borderId="0" xfId="1" applyFont="1" applyFill="1" applyAlignment="1"/>
    <xf numFmtId="0" fontId="7" fillId="0" borderId="0" xfId="0" applyFont="1" applyFill="1" applyAlignment="1"/>
    <xf numFmtId="0" fontId="4" fillId="0" borderId="0" xfId="0" applyFont="1" applyBorder="1" applyAlignment="1"/>
    <xf numFmtId="0" fontId="4" fillId="0" borderId="0" xfId="0" applyFont="1" applyFill="1" applyAlignment="1">
      <alignment horizontal="justify" vertical="center"/>
    </xf>
    <xf numFmtId="0" fontId="4" fillId="0" borderId="0" xfId="0" applyFont="1" applyFill="1" applyAlignment="1">
      <alignment horizontal="left" vertical="center" wrapText="1"/>
    </xf>
    <xf numFmtId="166" fontId="4" fillId="0" borderId="0" xfId="2" applyNumberFormat="1" applyFont="1" applyFill="1" applyAlignment="1">
      <alignment horizontal="left" vertical="center" wrapText="1"/>
    </xf>
    <xf numFmtId="9" fontId="4" fillId="0" borderId="0" xfId="1" applyFont="1" applyFill="1" applyAlignment="1">
      <alignment horizontal="left" vertical="center" wrapText="1"/>
    </xf>
    <xf numFmtId="0" fontId="7" fillId="0" borderId="0" xfId="0" applyFont="1" applyFill="1" applyAlignment="1">
      <alignment horizontal="justify" vertical="center"/>
    </xf>
    <xf numFmtId="166" fontId="4" fillId="2" borderId="0" xfId="2" applyNumberFormat="1" applyFont="1" applyFill="1" applyAlignment="1">
      <alignment vertical="center"/>
    </xf>
    <xf numFmtId="166" fontId="4" fillId="0" borderId="0" xfId="2" applyNumberFormat="1" applyFont="1" applyFill="1" applyAlignment="1">
      <alignment horizontal="left" wrapText="1"/>
    </xf>
    <xf numFmtId="0" fontId="4" fillId="0" borderId="0" xfId="0" applyFont="1" applyFill="1" applyAlignment="1">
      <alignment horizontal="left" wrapText="1"/>
    </xf>
    <xf numFmtId="9" fontId="4" fillId="0" borderId="0" xfId="1" applyFont="1" applyFill="1" applyAlignment="1">
      <alignment horizontal="left" wrapText="1"/>
    </xf>
    <xf numFmtId="164" fontId="4" fillId="0" borderId="0" xfId="2" applyFont="1" applyAlignment="1"/>
    <xf numFmtId="164" fontId="4" fillId="0" borderId="0" xfId="2" applyFont="1" applyBorder="1" applyAlignment="1">
      <alignment vertical="center"/>
    </xf>
    <xf numFmtId="164" fontId="4" fillId="0" borderId="0" xfId="2" applyFont="1" applyAlignment="1">
      <alignment vertical="center"/>
    </xf>
    <xf numFmtId="1" fontId="36" fillId="5" borderId="4" xfId="2" applyNumberFormat="1" applyFont="1" applyFill="1" applyBorder="1" applyAlignment="1">
      <alignment horizontal="center" vertical="center"/>
    </xf>
    <xf numFmtId="4" fontId="36" fillId="5" borderId="8" xfId="0" applyNumberFormat="1" applyFont="1" applyFill="1" applyBorder="1" applyAlignment="1">
      <alignment horizontal="center"/>
    </xf>
    <xf numFmtId="9" fontId="36" fillId="5" borderId="8" xfId="1" applyFont="1" applyFill="1" applyBorder="1" applyAlignment="1">
      <alignment horizontal="center"/>
    </xf>
    <xf numFmtId="0" fontId="37" fillId="0" borderId="0" xfId="0" applyFont="1" applyAlignment="1">
      <alignment wrapText="1"/>
    </xf>
    <xf numFmtId="166" fontId="4" fillId="0" borderId="0" xfId="2" applyNumberFormat="1" applyFont="1" applyAlignment="1"/>
    <xf numFmtId="4" fontId="4" fillId="0" borderId="0" xfId="0" applyNumberFormat="1" applyFont="1" applyAlignment="1"/>
    <xf numFmtId="0" fontId="37" fillId="0" borderId="0" xfId="0" applyFont="1" applyAlignment="1">
      <alignment horizontal="left" vertical="top" wrapText="1"/>
    </xf>
    <xf numFmtId="0" fontId="37" fillId="0" borderId="0" xfId="0" applyFont="1" applyAlignment="1">
      <alignment vertical="top" wrapText="1"/>
    </xf>
    <xf numFmtId="0" fontId="14" fillId="0" borderId="0" xfId="0" applyFont="1" applyAlignment="1">
      <alignment vertical="top" wrapText="1"/>
    </xf>
    <xf numFmtId="166" fontId="14" fillId="2" borderId="4" xfId="2" applyNumberFormat="1" applyFont="1" applyFill="1" applyBorder="1" applyAlignment="1">
      <alignment vertical="center"/>
    </xf>
    <xf numFmtId="166" fontId="14" fillId="0" borderId="4" xfId="2" applyNumberFormat="1" applyFont="1" applyFill="1" applyBorder="1" applyAlignment="1">
      <alignment vertical="center"/>
    </xf>
    <xf numFmtId="4" fontId="14" fillId="0" borderId="4" xfId="0" applyNumberFormat="1" applyFont="1" applyBorder="1" applyAlignment="1"/>
    <xf numFmtId="9" fontId="14" fillId="0" borderId="4" xfId="1" applyFont="1" applyBorder="1" applyAlignment="1"/>
    <xf numFmtId="166" fontId="14" fillId="0" borderId="0" xfId="2" applyNumberFormat="1" applyFont="1" applyFill="1" applyBorder="1" applyAlignment="1">
      <alignment vertical="center"/>
    </xf>
    <xf numFmtId="166" fontId="14" fillId="0" borderId="0" xfId="2" applyNumberFormat="1" applyFont="1" applyFill="1" applyBorder="1" applyAlignment="1"/>
    <xf numFmtId="4" fontId="14" fillId="0" borderId="0" xfId="0" applyNumberFormat="1" applyFont="1" applyBorder="1" applyAlignment="1"/>
    <xf numFmtId="9" fontId="14" fillId="0" borderId="0" xfId="1" applyFont="1" applyBorder="1" applyAlignment="1"/>
    <xf numFmtId="164" fontId="38" fillId="0" borderId="0" xfId="2" applyFont="1" applyBorder="1" applyAlignment="1">
      <alignment horizontal="left" vertical="center"/>
    </xf>
    <xf numFmtId="0" fontId="37" fillId="0" borderId="0" xfId="0" applyFont="1" applyFill="1" applyAlignment="1">
      <alignment horizontal="left" vertical="center" wrapText="1"/>
    </xf>
    <xf numFmtId="166" fontId="37" fillId="0" borderId="0" xfId="2" applyNumberFormat="1" applyFont="1" applyFill="1" applyAlignment="1">
      <alignment horizontal="left" vertical="center" wrapText="1"/>
    </xf>
    <xf numFmtId="9" fontId="37" fillId="0" borderId="0" xfId="1" applyFont="1" applyFill="1" applyAlignment="1">
      <alignment horizontal="left" vertical="center" wrapText="1"/>
    </xf>
    <xf numFmtId="0" fontId="37" fillId="0" borderId="0" xfId="0" applyFont="1" applyAlignment="1"/>
    <xf numFmtId="0" fontId="37" fillId="0" borderId="0" xfId="0" applyFont="1" applyFill="1" applyAlignment="1">
      <alignment horizontal="left" vertical="center"/>
    </xf>
    <xf numFmtId="0" fontId="41" fillId="0" borderId="0" xfId="0" applyFont="1" applyAlignment="1"/>
    <xf numFmtId="164" fontId="4" fillId="0" borderId="0" xfId="2" applyFont="1" applyFill="1" applyBorder="1" applyAlignment="1"/>
    <xf numFmtId="166" fontId="7" fillId="0" borderId="0" xfId="2" applyNumberFormat="1" applyFont="1" applyAlignment="1">
      <alignment vertical="center"/>
    </xf>
    <xf numFmtId="166" fontId="14" fillId="0" borderId="4" xfId="2" applyNumberFormat="1" applyFont="1" applyBorder="1" applyAlignment="1">
      <alignment vertical="center"/>
    </xf>
    <xf numFmtId="0" fontId="42" fillId="0" borderId="0" xfId="0" applyFont="1" applyAlignment="1">
      <alignment vertical="center"/>
    </xf>
    <xf numFmtId="0" fontId="43" fillId="0" borderId="0" xfId="0" applyFont="1" applyAlignment="1">
      <alignment vertical="center"/>
    </xf>
    <xf numFmtId="9" fontId="37" fillId="0" borderId="0" xfId="1" applyFont="1" applyAlignment="1">
      <alignment horizontal="left" vertical="center"/>
    </xf>
    <xf numFmtId="9" fontId="37" fillId="0" borderId="0" xfId="1" applyFont="1" applyAlignment="1">
      <alignment vertical="center"/>
    </xf>
    <xf numFmtId="0" fontId="44" fillId="2" borderId="0" xfId="0" applyFont="1" applyFill="1" applyAlignment="1">
      <alignment vertical="center"/>
    </xf>
    <xf numFmtId="0" fontId="41" fillId="2" borderId="0" xfId="0" applyFont="1" applyFill="1" applyAlignment="1">
      <alignment vertical="center" wrapText="1"/>
    </xf>
    <xf numFmtId="0" fontId="44" fillId="0" borderId="0" xfId="0" applyFont="1" applyAlignment="1">
      <alignment vertical="center"/>
    </xf>
    <xf numFmtId="4" fontId="41" fillId="0" borderId="0" xfId="0" applyNumberFormat="1" applyFont="1" applyAlignment="1">
      <alignment vertical="center"/>
    </xf>
    <xf numFmtId="4" fontId="41" fillId="0" borderId="0" xfId="0" applyNumberFormat="1" applyFont="1" applyFill="1" applyAlignment="1">
      <alignment vertical="center"/>
    </xf>
    <xf numFmtId="9" fontId="41" fillId="0" borderId="0" xfId="1" applyFont="1" applyAlignment="1">
      <alignment vertical="center"/>
    </xf>
    <xf numFmtId="0" fontId="44" fillId="0" borderId="0" xfId="0" applyFont="1" applyAlignment="1"/>
    <xf numFmtId="0" fontId="43" fillId="0" borderId="0" xfId="0" applyFont="1" applyAlignment="1">
      <alignment horizontal="left" vertical="center"/>
    </xf>
    <xf numFmtId="0" fontId="3" fillId="7" borderId="3" xfId="0" applyFont="1" applyFill="1" applyBorder="1" applyAlignment="1"/>
    <xf numFmtId="0" fontId="2" fillId="8" borderId="9" xfId="0" applyFont="1" applyFill="1" applyBorder="1" applyAlignment="1">
      <alignment horizontal="center"/>
    </xf>
    <xf numFmtId="9" fontId="37" fillId="0" borderId="0" xfId="1" applyFont="1" applyAlignment="1"/>
    <xf numFmtId="0" fontId="41" fillId="0" borderId="8" xfId="0" applyFont="1" applyBorder="1" applyAlignment="1">
      <alignment vertical="center"/>
    </xf>
    <xf numFmtId="43" fontId="0" fillId="0" borderId="8" xfId="4" applyFont="1" applyBorder="1"/>
    <xf numFmtId="0" fontId="3" fillId="7" borderId="10" xfId="0" applyFont="1" applyFill="1" applyBorder="1"/>
    <xf numFmtId="43" fontId="3" fillId="7" borderId="11" xfId="0" applyNumberFormat="1" applyFont="1" applyFill="1" applyBorder="1"/>
    <xf numFmtId="0" fontId="41" fillId="0" borderId="0" xfId="0" applyFont="1" applyFill="1" applyAlignment="1">
      <alignment horizontal="left" vertical="center"/>
    </xf>
    <xf numFmtId="43" fontId="46" fillId="0" borderId="8" xfId="4" applyFont="1" applyFill="1" applyBorder="1"/>
    <xf numFmtId="0" fontId="46" fillId="0" borderId="8" xfId="0" applyFont="1" applyFill="1" applyBorder="1" applyAlignment="1"/>
    <xf numFmtId="0" fontId="41" fillId="0" borderId="0" xfId="0" applyFont="1" applyAlignment="1">
      <alignment horizontal="left" vertical="center"/>
    </xf>
    <xf numFmtId="43" fontId="46" fillId="0" borderId="8" xfId="4" applyFont="1" applyBorder="1"/>
    <xf numFmtId="0" fontId="47" fillId="7" borderId="8" xfId="0" applyFont="1" applyFill="1" applyBorder="1" applyAlignment="1">
      <alignment horizontal="center"/>
    </xf>
    <xf numFmtId="43" fontId="47" fillId="7" borderId="8" xfId="0" applyNumberFormat="1" applyFont="1" applyFill="1" applyBorder="1"/>
    <xf numFmtId="4" fontId="46" fillId="0" borderId="0" xfId="0" applyNumberFormat="1" applyFont="1" applyAlignment="1"/>
    <xf numFmtId="4" fontId="46" fillId="0" borderId="0" xfId="0" applyNumberFormat="1" applyFont="1" applyFill="1" applyAlignment="1"/>
    <xf numFmtId="9" fontId="41" fillId="0" borderId="0" xfId="1" applyFont="1" applyAlignment="1">
      <alignment horizontal="left" vertical="center"/>
    </xf>
    <xf numFmtId="4" fontId="41" fillId="0" borderId="0" xfId="0" applyNumberFormat="1" applyFont="1" applyAlignment="1">
      <alignment horizontal="left" vertical="center"/>
    </xf>
    <xf numFmtId="4" fontId="41" fillId="0" borderId="0" xfId="0" applyNumberFormat="1" applyFont="1" applyFill="1" applyAlignment="1">
      <alignment horizontal="left" vertical="center"/>
    </xf>
    <xf numFmtId="4" fontId="41" fillId="0" borderId="0" xfId="0" applyNumberFormat="1" applyFont="1" applyAlignment="1"/>
    <xf numFmtId="4" fontId="41" fillId="0" borderId="0" xfId="0" applyNumberFormat="1" applyFont="1" applyFill="1" applyAlignment="1"/>
    <xf numFmtId="9" fontId="41" fillId="0" borderId="0" xfId="1" applyFont="1" applyAlignment="1"/>
    <xf numFmtId="0" fontId="37" fillId="0" borderId="0" xfId="0" applyFont="1" applyFill="1" applyAlignment="1"/>
    <xf numFmtId="0" fontId="48" fillId="0" borderId="0" xfId="0" applyFont="1" applyFill="1" applyAlignment="1"/>
    <xf numFmtId="4" fontId="4" fillId="0" borderId="0" xfId="0" applyNumberFormat="1" applyFont="1" applyFill="1"/>
    <xf numFmtId="10" fontId="4" fillId="0" borderId="0" xfId="1" applyNumberFormat="1" applyFont="1" applyAlignment="1"/>
    <xf numFmtId="164" fontId="46" fillId="0" borderId="0" xfId="2" applyFont="1" applyAlignment="1">
      <alignment vertical="center"/>
    </xf>
    <xf numFmtId="0" fontId="37" fillId="0" borderId="0" xfId="0" applyFont="1" applyFill="1" applyAlignment="1">
      <alignment wrapText="1"/>
    </xf>
    <xf numFmtId="0" fontId="14" fillId="0" borderId="0" xfId="0" applyFont="1" applyFill="1" applyAlignment="1">
      <alignment vertical="center"/>
    </xf>
    <xf numFmtId="166" fontId="14" fillId="2" borderId="6" xfId="2" applyNumberFormat="1" applyFont="1" applyFill="1" applyBorder="1" applyAlignment="1">
      <alignment vertical="center"/>
    </xf>
    <xf numFmtId="4" fontId="14" fillId="2" borderId="6" xfId="0" applyNumberFormat="1" applyFont="1" applyFill="1" applyBorder="1" applyAlignment="1">
      <alignment vertical="center"/>
    </xf>
    <xf numFmtId="10" fontId="4" fillId="2" borderId="6" xfId="1" applyNumberFormat="1" applyFont="1" applyFill="1" applyBorder="1" applyAlignment="1">
      <alignment vertical="center"/>
    </xf>
    <xf numFmtId="0" fontId="4" fillId="2" borderId="0" xfId="0" applyFont="1" applyFill="1" applyAlignment="1">
      <alignment vertical="center"/>
    </xf>
    <xf numFmtId="4" fontId="14" fillId="0" borderId="0" xfId="0" applyNumberFormat="1" applyFont="1" applyFill="1" applyBorder="1" applyAlignment="1">
      <alignment vertical="center"/>
    </xf>
    <xf numFmtId="9" fontId="4" fillId="0" borderId="0" xfId="1" applyFont="1" applyBorder="1" applyAlignment="1">
      <alignment vertical="center"/>
    </xf>
    <xf numFmtId="0" fontId="37" fillId="0" borderId="0" xfId="0" applyFont="1" applyAlignment="1">
      <alignment vertical="center"/>
    </xf>
    <xf numFmtId="166" fontId="37" fillId="0" borderId="0" xfId="2" applyNumberFormat="1" applyFont="1" applyAlignment="1">
      <alignment vertical="center"/>
    </xf>
    <xf numFmtId="166" fontId="37" fillId="0" borderId="0" xfId="2" applyNumberFormat="1" applyFont="1" applyFill="1" applyAlignment="1">
      <alignment vertical="center"/>
    </xf>
    <xf numFmtId="0" fontId="49" fillId="0" borderId="0" xfId="0" applyFont="1" applyFill="1" applyAlignment="1"/>
    <xf numFmtId="1" fontId="36" fillId="5" borderId="12" xfId="2" applyNumberFormat="1" applyFont="1" applyFill="1" applyBorder="1" applyAlignment="1">
      <alignment horizontal="center" vertical="center"/>
    </xf>
    <xf numFmtId="1" fontId="36" fillId="5" borderId="13" xfId="2" applyNumberFormat="1" applyFont="1" applyFill="1" applyBorder="1" applyAlignment="1">
      <alignment horizontal="center" vertical="center"/>
    </xf>
    <xf numFmtId="1" fontId="36" fillId="5" borderId="13" xfId="2" applyNumberFormat="1" applyFont="1" applyFill="1" applyBorder="1" applyAlignment="1">
      <alignment horizontal="center" vertical="center" wrapText="1"/>
    </xf>
    <xf numFmtId="1" fontId="36" fillId="5" borderId="14" xfId="2" applyNumberFormat="1" applyFont="1" applyFill="1" applyBorder="1" applyAlignment="1">
      <alignment horizontal="center" vertical="center"/>
    </xf>
    <xf numFmtId="9" fontId="36" fillId="2" borderId="0" xfId="1" applyFont="1" applyFill="1" applyBorder="1" applyAlignment="1">
      <alignment horizontal="center"/>
    </xf>
    <xf numFmtId="0" fontId="50" fillId="0" borderId="15" xfId="0" applyFont="1" applyFill="1" applyBorder="1" applyAlignment="1">
      <alignment vertical="center"/>
    </xf>
    <xf numFmtId="43" fontId="51" fillId="0" borderId="0" xfId="4" applyFont="1" applyFill="1" applyBorder="1" applyAlignment="1">
      <alignment horizontal="right" vertical="center"/>
    </xf>
    <xf numFmtId="43" fontId="51" fillId="0" borderId="16" xfId="4" applyFont="1" applyFill="1" applyBorder="1" applyAlignment="1">
      <alignment horizontal="right" vertical="center"/>
    </xf>
    <xf numFmtId="9" fontId="4" fillId="2" borderId="0" xfId="1" applyFont="1" applyFill="1" applyBorder="1" applyAlignment="1"/>
    <xf numFmtId="0" fontId="51" fillId="0" borderId="15" xfId="0" applyFont="1" applyFill="1" applyBorder="1" applyAlignment="1">
      <alignment vertical="center"/>
    </xf>
    <xf numFmtId="43" fontId="23" fillId="2" borderId="5" xfId="4" applyFont="1" applyFill="1" applyBorder="1" applyAlignment="1">
      <alignment horizontal="right" vertical="center"/>
    </xf>
    <xf numFmtId="43" fontId="51" fillId="2" borderId="5" xfId="4" applyFont="1" applyFill="1" applyBorder="1" applyAlignment="1">
      <alignment horizontal="right" vertical="center"/>
    </xf>
    <xf numFmtId="43" fontId="51" fillId="2" borderId="17" xfId="4" applyFont="1" applyFill="1" applyBorder="1" applyAlignment="1">
      <alignment horizontal="center" vertical="center"/>
    </xf>
    <xf numFmtId="43" fontId="4" fillId="0" borderId="0" xfId="0" applyNumberFormat="1" applyFont="1" applyAlignment="1"/>
    <xf numFmtId="43" fontId="50" fillId="0" borderId="5" xfId="4" applyFont="1" applyFill="1" applyBorder="1" applyAlignment="1">
      <alignment horizontal="right" vertical="center"/>
    </xf>
    <xf numFmtId="43" fontId="50" fillId="0" borderId="17" xfId="4" applyFont="1" applyFill="1" applyBorder="1" applyAlignment="1">
      <alignment horizontal="right" vertical="center"/>
    </xf>
    <xf numFmtId="43" fontId="50" fillId="0" borderId="0" xfId="4" applyFont="1" applyFill="1" applyBorder="1" applyAlignment="1">
      <alignment horizontal="right" vertical="center"/>
    </xf>
    <xf numFmtId="43" fontId="50" fillId="0" borderId="16" xfId="4" applyFont="1" applyFill="1" applyBorder="1" applyAlignment="1">
      <alignment horizontal="center" vertical="center"/>
    </xf>
    <xf numFmtId="43" fontId="23" fillId="0" borderId="0" xfId="4" applyFont="1" applyFill="1" applyBorder="1"/>
    <xf numFmtId="43" fontId="23" fillId="0" borderId="16" xfId="4" applyFont="1" applyFill="1" applyBorder="1" applyAlignment="1">
      <alignment horizontal="center"/>
    </xf>
    <xf numFmtId="43" fontId="4" fillId="2" borderId="0" xfId="1" applyNumberFormat="1" applyFont="1" applyFill="1" applyBorder="1" applyAlignment="1"/>
    <xf numFmtId="164" fontId="4" fillId="2" borderId="0" xfId="2" applyFont="1" applyFill="1" applyBorder="1" applyAlignment="1"/>
    <xf numFmtId="0" fontId="25" fillId="0" borderId="10" xfId="0" applyFont="1" applyFill="1" applyBorder="1" applyAlignment="1">
      <alignment vertical="center"/>
    </xf>
    <xf numFmtId="43" fontId="50" fillId="0" borderId="3" xfId="4" applyFont="1" applyFill="1" applyBorder="1" applyAlignment="1">
      <alignment horizontal="right" vertical="center"/>
    </xf>
    <xf numFmtId="43" fontId="50" fillId="0" borderId="18" xfId="4" applyFont="1" applyFill="1" applyBorder="1" applyAlignment="1">
      <alignment horizontal="right" vertical="center"/>
    </xf>
    <xf numFmtId="0" fontId="1" fillId="0" borderId="0" xfId="0" applyFont="1" applyFill="1" applyBorder="1"/>
    <xf numFmtId="43" fontId="1" fillId="0" borderId="0" xfId="4" applyFont="1" applyFill="1" applyBorder="1"/>
    <xf numFmtId="0" fontId="8" fillId="2" borderId="0" xfId="0" applyFont="1" applyFill="1" applyBorder="1" applyAlignment="1">
      <alignment vertical="center" wrapText="1"/>
    </xf>
    <xf numFmtId="166" fontId="14" fillId="2" borderId="0" xfId="2" applyNumberFormat="1" applyFont="1" applyFill="1" applyBorder="1" applyAlignment="1">
      <alignment vertical="center"/>
    </xf>
    <xf numFmtId="43" fontId="14" fillId="2" borderId="0" xfId="4" applyFont="1" applyFill="1" applyBorder="1" applyAlignment="1">
      <alignment vertical="center"/>
    </xf>
    <xf numFmtId="9" fontId="14" fillId="2" borderId="0" xfId="1" applyFont="1" applyFill="1" applyBorder="1" applyAlignment="1">
      <alignment vertical="center"/>
    </xf>
    <xf numFmtId="0" fontId="4" fillId="0" borderId="0" xfId="0" applyFont="1" applyAlignment="1">
      <alignment horizontal="left" vertical="center"/>
    </xf>
    <xf numFmtId="0" fontId="7" fillId="0" borderId="0" xfId="0" applyFont="1" applyAlignment="1">
      <alignment horizontal="left" vertical="center" wrapText="1"/>
    </xf>
    <xf numFmtId="0" fontId="52" fillId="8" borderId="8" xfId="0" applyFont="1" applyFill="1" applyBorder="1" applyAlignment="1"/>
    <xf numFmtId="0" fontId="52" fillId="8" borderId="8" xfId="0" applyFont="1" applyFill="1" applyBorder="1" applyAlignment="1">
      <alignment horizontal="center"/>
    </xf>
    <xf numFmtId="166" fontId="4" fillId="0" borderId="0" xfId="2" applyNumberFormat="1" applyFont="1" applyBorder="1" applyAlignment="1">
      <alignment horizontal="left" vertical="center" wrapText="1"/>
    </xf>
    <xf numFmtId="166" fontId="4" fillId="0" borderId="0" xfId="2" applyNumberFormat="1" applyFont="1" applyAlignment="1">
      <alignment vertical="center" wrapText="1"/>
    </xf>
    <xf numFmtId="9" fontId="4" fillId="0" borderId="0" xfId="1" applyFont="1" applyAlignment="1">
      <alignment vertical="center" wrapText="1"/>
    </xf>
    <xf numFmtId="0" fontId="53" fillId="0" borderId="15" xfId="0" applyFont="1" applyBorder="1" applyAlignment="1">
      <alignment vertical="center"/>
    </xf>
    <xf numFmtId="164" fontId="54" fillId="0" borderId="16" xfId="2" applyFont="1" applyFill="1" applyBorder="1" applyAlignment="1"/>
    <xf numFmtId="164" fontId="7" fillId="0" borderId="0" xfId="2" applyFont="1" applyFill="1" applyBorder="1" applyAlignment="1"/>
    <xf numFmtId="0" fontId="37" fillId="0" borderId="0" xfId="0" applyFont="1" applyFill="1" applyAlignment="1">
      <alignment vertical="center"/>
    </xf>
    <xf numFmtId="0" fontId="55" fillId="0" borderId="0" xfId="0" applyFont="1" applyAlignment="1"/>
    <xf numFmtId="166" fontId="4" fillId="0" borderId="0" xfId="2" applyNumberFormat="1" applyFont="1" applyAlignment="1">
      <alignment horizontal="left" vertical="center" wrapText="1"/>
    </xf>
    <xf numFmtId="43" fontId="4" fillId="0" borderId="0" xfId="0" applyNumberFormat="1" applyFont="1" applyAlignment="1">
      <alignment horizontal="left" vertical="center" wrapText="1"/>
    </xf>
    <xf numFmtId="0" fontId="4" fillId="0" borderId="0" xfId="0" applyFont="1" applyFill="1" applyAlignment="1">
      <alignment vertical="center"/>
    </xf>
    <xf numFmtId="4" fontId="36" fillId="5" borderId="19" xfId="0" applyNumberFormat="1" applyFont="1" applyFill="1" applyBorder="1" applyAlignment="1">
      <alignment horizontal="center"/>
    </xf>
    <xf numFmtId="9" fontId="36" fillId="5" borderId="19" xfId="1" applyFont="1" applyFill="1" applyBorder="1" applyAlignment="1">
      <alignment horizontal="center"/>
    </xf>
    <xf numFmtId="0" fontId="23" fillId="0" borderId="0" xfId="0" applyFont="1" applyFill="1"/>
    <xf numFmtId="9" fontId="23" fillId="0" borderId="0" xfId="1" applyFont="1" applyFill="1"/>
    <xf numFmtId="4" fontId="4" fillId="0" borderId="0" xfId="0" applyNumberFormat="1" applyFont="1" applyAlignment="1">
      <alignment vertical="center"/>
    </xf>
    <xf numFmtId="9" fontId="4" fillId="0" borderId="0" xfId="1" applyFont="1" applyAlignment="1">
      <alignment vertical="center"/>
    </xf>
    <xf numFmtId="166" fontId="7" fillId="2" borderId="1" xfId="2" applyNumberFormat="1" applyFont="1" applyFill="1" applyBorder="1" applyAlignment="1">
      <alignment vertical="center"/>
    </xf>
    <xf numFmtId="166" fontId="7" fillId="0" borderId="1" xfId="2" applyNumberFormat="1" applyFont="1" applyFill="1" applyBorder="1" applyAlignment="1"/>
    <xf numFmtId="4" fontId="14" fillId="0" borderId="1" xfId="0" applyNumberFormat="1" applyFont="1" applyBorder="1" applyAlignment="1"/>
    <xf numFmtId="9" fontId="14" fillId="0" borderId="1" xfId="1" applyFont="1" applyBorder="1" applyAlignment="1"/>
    <xf numFmtId="166" fontId="7" fillId="0" borderId="0" xfId="2" applyNumberFormat="1" applyFont="1" applyFill="1" applyBorder="1" applyAlignment="1">
      <alignment vertical="center"/>
    </xf>
    <xf numFmtId="166" fontId="7" fillId="0" borderId="0" xfId="2" applyNumberFormat="1" applyFont="1" applyFill="1" applyBorder="1" applyAlignment="1"/>
    <xf numFmtId="0" fontId="6" fillId="0" borderId="0" xfId="0" applyFont="1" applyAlignment="1">
      <alignment horizontal="left" vertical="center"/>
    </xf>
    <xf numFmtId="0" fontId="6" fillId="0" borderId="0" xfId="0" applyFont="1" applyAlignment="1">
      <alignment horizontal="left" vertical="center" wrapText="1"/>
    </xf>
    <xf numFmtId="4" fontId="14" fillId="0" borderId="4" xfId="0" applyNumberFormat="1" applyFont="1" applyFill="1" applyBorder="1" applyAlignment="1">
      <alignment vertical="center"/>
    </xf>
    <xf numFmtId="0" fontId="5" fillId="0" borderId="0" xfId="0" applyFont="1" applyFill="1" applyBorder="1" applyAlignment="1">
      <alignment horizontal="left" vertical="center" wrapText="1"/>
    </xf>
    <xf numFmtId="166" fontId="5" fillId="0" borderId="0" xfId="2" applyNumberFormat="1" applyFont="1" applyFill="1" applyBorder="1" applyAlignment="1">
      <alignment horizontal="left" vertical="center" wrapText="1"/>
    </xf>
    <xf numFmtId="9" fontId="5" fillId="0" borderId="0" xfId="1" applyFont="1" applyFill="1" applyBorder="1" applyAlignment="1">
      <alignment horizontal="left" vertical="center" wrapText="1"/>
    </xf>
    <xf numFmtId="0" fontId="6" fillId="0" borderId="0" xfId="0" applyFont="1" applyFill="1" applyBorder="1" applyAlignment="1"/>
    <xf numFmtId="166" fontId="14" fillId="0" borderId="4" xfId="2" applyNumberFormat="1" applyFont="1" applyFill="1" applyBorder="1" applyAlignment="1"/>
    <xf numFmtId="166" fontId="7" fillId="2" borderId="6" xfId="2" applyNumberFormat="1" applyFont="1" applyFill="1" applyBorder="1" applyAlignment="1">
      <alignment vertical="center"/>
    </xf>
    <xf numFmtId="166" fontId="7" fillId="0" borderId="6" xfId="2" applyNumberFormat="1" applyFont="1" applyFill="1" applyBorder="1" applyAlignment="1">
      <alignment vertical="center"/>
    </xf>
    <xf numFmtId="4" fontId="7" fillId="0" borderId="6" xfId="0" applyNumberFormat="1" applyFont="1" applyBorder="1" applyAlignment="1">
      <alignment vertical="center"/>
    </xf>
    <xf numFmtId="3" fontId="4" fillId="0" borderId="0" xfId="0" applyNumberFormat="1" applyFont="1" applyAlignment="1"/>
    <xf numFmtId="0" fontId="14" fillId="0" borderId="0" xfId="0" applyFont="1" applyAlignment="1">
      <alignment horizontal="left" vertical="center"/>
    </xf>
    <xf numFmtId="166" fontId="14" fillId="0" borderId="0" xfId="2" applyNumberFormat="1" applyFont="1" applyAlignment="1">
      <alignment horizontal="left" vertical="center"/>
    </xf>
    <xf numFmtId="166" fontId="14" fillId="0" borderId="0" xfId="2" applyNumberFormat="1" applyFont="1" applyFill="1" applyAlignment="1">
      <alignment horizontal="left" vertical="center"/>
    </xf>
    <xf numFmtId="9" fontId="14" fillId="0" borderId="0" xfId="1" applyFont="1" applyAlignment="1">
      <alignment horizontal="left" vertical="center"/>
    </xf>
    <xf numFmtId="4" fontId="4" fillId="0" borderId="0" xfId="2" applyNumberFormat="1" applyFont="1" applyAlignment="1"/>
    <xf numFmtId="166" fontId="14" fillId="2" borderId="1" xfId="2" applyNumberFormat="1" applyFont="1" applyFill="1" applyBorder="1" applyAlignment="1">
      <alignment vertical="center"/>
    </xf>
    <xf numFmtId="166" fontId="14" fillId="0" borderId="1" xfId="2" applyNumberFormat="1" applyFont="1" applyFill="1" applyBorder="1" applyAlignment="1"/>
    <xf numFmtId="4" fontId="14" fillId="0" borderId="1" xfId="2" applyNumberFormat="1" applyFont="1" applyBorder="1" applyAlignment="1"/>
    <xf numFmtId="166" fontId="4" fillId="0" borderId="0" xfId="2" applyNumberFormat="1" applyFont="1" applyFill="1" applyBorder="1" applyAlignment="1">
      <alignment vertical="center"/>
    </xf>
    <xf numFmtId="166" fontId="4" fillId="0" borderId="0" xfId="2" applyNumberFormat="1" applyFont="1" applyFill="1" applyBorder="1" applyAlignment="1"/>
    <xf numFmtId="4" fontId="4" fillId="0" borderId="0" xfId="0" applyNumberFormat="1" applyFont="1" applyBorder="1" applyAlignment="1"/>
    <xf numFmtId="9" fontId="4" fillId="0" borderId="0" xfId="1" applyFont="1" applyBorder="1" applyAlignment="1"/>
    <xf numFmtId="0" fontId="5" fillId="0" borderId="0" xfId="0" applyFont="1" applyAlignment="1"/>
    <xf numFmtId="166" fontId="5" fillId="2" borderId="0" xfId="2"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43" fontId="4" fillId="0" borderId="0" xfId="4" applyFont="1" applyAlignment="1">
      <alignment vertical="center"/>
    </xf>
    <xf numFmtId="166" fontId="7" fillId="0" borderId="1" xfId="2" applyNumberFormat="1" applyFont="1" applyFill="1" applyBorder="1" applyAlignment="1">
      <alignment horizontal="center" vertical="center"/>
    </xf>
    <xf numFmtId="166" fontId="7" fillId="0" borderId="1" xfId="2" applyNumberFormat="1" applyFont="1" applyFill="1" applyBorder="1" applyAlignment="1">
      <alignment vertical="center"/>
    </xf>
    <xf numFmtId="43" fontId="14" fillId="0" borderId="1" xfId="4" applyFont="1" applyBorder="1" applyAlignment="1">
      <alignment vertical="center"/>
    </xf>
    <xf numFmtId="0" fontId="14" fillId="0" borderId="0" xfId="0" applyFont="1" applyAlignment="1">
      <alignment vertical="center" wrapText="1"/>
    </xf>
    <xf numFmtId="166" fontId="14" fillId="0" borderId="0" xfId="2" applyNumberFormat="1" applyFont="1" applyAlignment="1">
      <alignment vertical="center" wrapText="1"/>
    </xf>
    <xf numFmtId="9" fontId="14" fillId="0" borderId="0" xfId="1" applyFont="1" applyAlignment="1">
      <alignment vertical="center" wrapText="1"/>
    </xf>
    <xf numFmtId="0" fontId="14" fillId="2" borderId="0" xfId="0" applyFont="1" applyFill="1" applyAlignment="1">
      <alignment vertical="center"/>
    </xf>
    <xf numFmtId="166" fontId="14" fillId="2" borderId="0" xfId="2" applyNumberFormat="1" applyFont="1" applyFill="1" applyAlignment="1">
      <alignment vertical="center"/>
    </xf>
    <xf numFmtId="9" fontId="14" fillId="2" borderId="0" xfId="1" applyFont="1" applyFill="1" applyAlignment="1">
      <alignment vertical="center"/>
    </xf>
    <xf numFmtId="0" fontId="4" fillId="2" borderId="0" xfId="0" applyFont="1" applyFill="1" applyAlignment="1"/>
    <xf numFmtId="166" fontId="4" fillId="2" borderId="0" xfId="2" applyNumberFormat="1" applyFont="1" applyFill="1" applyAlignment="1"/>
    <xf numFmtId="9" fontId="4" fillId="2" borderId="0" xfId="1" applyFont="1" applyFill="1" applyAlignment="1"/>
    <xf numFmtId="164" fontId="36" fillId="0" borderId="0" xfId="2" applyFont="1" applyFill="1" applyBorder="1" applyAlignment="1">
      <alignment horizontal="center" vertical="center"/>
    </xf>
    <xf numFmtId="166" fontId="36" fillId="2" borderId="0" xfId="2" applyNumberFormat="1" applyFont="1" applyFill="1" applyBorder="1" applyAlignment="1">
      <alignment horizontal="center" vertical="center"/>
    </xf>
    <xf numFmtId="4" fontId="36" fillId="2" borderId="0" xfId="0" applyNumberFormat="1" applyFont="1" applyFill="1" applyBorder="1" applyAlignment="1">
      <alignment horizontal="center"/>
    </xf>
    <xf numFmtId="4" fontId="4" fillId="2" borderId="0" xfId="4" applyNumberFormat="1" applyFont="1" applyFill="1" applyAlignment="1"/>
    <xf numFmtId="164" fontId="4" fillId="0" borderId="0" xfId="2" applyFont="1" applyFill="1" applyBorder="1" applyAlignment="1">
      <alignment vertical="center"/>
    </xf>
    <xf numFmtId="164" fontId="4" fillId="2" borderId="0" xfId="2" applyFont="1" applyFill="1" applyAlignment="1"/>
    <xf numFmtId="164" fontId="7" fillId="0" borderId="0" xfId="2" applyFont="1" applyFill="1" applyBorder="1" applyAlignment="1">
      <alignment vertical="center"/>
    </xf>
    <xf numFmtId="0" fontId="7" fillId="2" borderId="0" xfId="0" applyFont="1" applyFill="1" applyAlignment="1"/>
    <xf numFmtId="4" fontId="7" fillId="2" borderId="6" xfId="4" applyNumberFormat="1" applyFont="1" applyFill="1" applyBorder="1" applyAlignment="1"/>
    <xf numFmtId="9" fontId="7" fillId="2" borderId="6" xfId="1" applyFont="1" applyFill="1" applyBorder="1" applyAlignment="1"/>
    <xf numFmtId="4" fontId="7" fillId="2" borderId="0" xfId="0" applyNumberFormat="1" applyFont="1" applyFill="1" applyAlignment="1"/>
    <xf numFmtId="4" fontId="4" fillId="0" borderId="0" xfId="4" applyNumberFormat="1" applyFont="1" applyAlignment="1"/>
    <xf numFmtId="4" fontId="14" fillId="0" borderId="0" xfId="0" applyNumberFormat="1" applyFont="1" applyAlignment="1">
      <alignment horizontal="left" vertical="center"/>
    </xf>
    <xf numFmtId="164" fontId="5" fillId="0" borderId="0" xfId="2" applyFont="1" applyFill="1" applyBorder="1" applyAlignment="1">
      <alignment horizontal="right" vertical="center"/>
    </xf>
    <xf numFmtId="166" fontId="36" fillId="0" borderId="0" xfId="2" applyNumberFormat="1" applyFont="1" applyFill="1" applyBorder="1" applyAlignment="1">
      <alignment horizontal="center" vertical="center"/>
    </xf>
    <xf numFmtId="4" fontId="36" fillId="0" borderId="0" xfId="0" applyNumberFormat="1" applyFont="1" applyFill="1" applyBorder="1" applyAlignment="1">
      <alignment horizontal="center"/>
    </xf>
    <xf numFmtId="9" fontId="36" fillId="0" borderId="0" xfId="1" applyFont="1" applyFill="1" applyBorder="1" applyAlignment="1">
      <alignment horizontal="center"/>
    </xf>
    <xf numFmtId="4" fontId="7" fillId="0" borderId="6" xfId="4" applyNumberFormat="1" applyFont="1" applyBorder="1" applyAlignment="1"/>
    <xf numFmtId="9" fontId="7" fillId="0" borderId="6" xfId="1" applyFont="1" applyBorder="1" applyAlignment="1"/>
    <xf numFmtId="166" fontId="4" fillId="0" borderId="0" xfId="2" applyNumberFormat="1" applyFont="1" applyFill="1" applyBorder="1" applyAlignment="1">
      <alignment horizontal="right"/>
    </xf>
    <xf numFmtId="4" fontId="7" fillId="0" borderId="1" xfId="0" applyNumberFormat="1" applyFont="1" applyFill="1" applyBorder="1" applyAlignment="1">
      <alignment vertical="center"/>
    </xf>
    <xf numFmtId="166" fontId="36" fillId="5" borderId="4" xfId="2" applyNumberFormat="1" applyFont="1" applyFill="1" applyBorder="1" applyAlignment="1">
      <alignment horizontal="center" vertical="center"/>
    </xf>
    <xf numFmtId="0" fontId="4" fillId="0" borderId="8" xfId="0" applyFont="1" applyBorder="1"/>
    <xf numFmtId="4" fontId="4" fillId="0" borderId="8" xfId="0" applyNumberFormat="1" applyFont="1" applyBorder="1" applyAlignment="1"/>
    <xf numFmtId="9" fontId="4" fillId="0" borderId="8" xfId="1" applyFont="1" applyBorder="1" applyAlignment="1"/>
    <xf numFmtId="0" fontId="4" fillId="0" borderId="8" xfId="0" applyFont="1" applyBorder="1" applyAlignment="1">
      <alignment vertical="center" wrapText="1"/>
    </xf>
    <xf numFmtId="0" fontId="6" fillId="0" borderId="8" xfId="0" applyFont="1" applyFill="1" applyBorder="1" applyAlignment="1"/>
    <xf numFmtId="166" fontId="6" fillId="0" borderId="8" xfId="2" applyNumberFormat="1" applyFont="1" applyFill="1" applyBorder="1" applyAlignment="1">
      <alignment vertical="center"/>
    </xf>
    <xf numFmtId="166" fontId="6" fillId="0" borderId="8" xfId="2" applyNumberFormat="1" applyFont="1" applyFill="1" applyBorder="1" applyAlignment="1"/>
    <xf numFmtId="4" fontId="6" fillId="0" borderId="8" xfId="0" applyNumberFormat="1" applyFont="1" applyFill="1" applyBorder="1" applyAlignment="1"/>
    <xf numFmtId="9" fontId="6" fillId="0" borderId="8" xfId="1" applyFont="1" applyFill="1" applyBorder="1" applyAlignment="1"/>
    <xf numFmtId="0" fontId="36" fillId="0" borderId="0" xfId="0" applyFont="1" applyFill="1" applyBorder="1" applyAlignment="1"/>
    <xf numFmtId="166" fontId="7" fillId="0" borderId="2" xfId="2" applyNumberFormat="1" applyFont="1" applyFill="1" applyBorder="1" applyAlignment="1">
      <alignment vertical="center"/>
    </xf>
    <xf numFmtId="166" fontId="36" fillId="0" borderId="2" xfId="2" applyNumberFormat="1" applyFont="1" applyFill="1" applyBorder="1" applyAlignment="1"/>
    <xf numFmtId="4" fontId="36" fillId="0" borderId="0" xfId="0" applyNumberFormat="1" applyFont="1" applyFill="1" applyBorder="1" applyAlignment="1"/>
    <xf numFmtId="9" fontId="36" fillId="0" borderId="0" xfId="1" applyFont="1" applyFill="1" applyBorder="1" applyAlignment="1"/>
    <xf numFmtId="0" fontId="14" fillId="0" borderId="0" xfId="0" applyFont="1" applyFill="1"/>
    <xf numFmtId="166" fontId="6" fillId="0" borderId="0" xfId="2" applyNumberFormat="1" applyFont="1" applyFill="1" applyBorder="1" applyAlignment="1">
      <alignment vertical="center"/>
    </xf>
    <xf numFmtId="4" fontId="6" fillId="0" borderId="0" xfId="0" applyNumberFormat="1" applyFont="1" applyFill="1" applyBorder="1" applyAlignment="1"/>
    <xf numFmtId="9" fontId="6" fillId="0" borderId="0" xfId="1" applyFont="1" applyFill="1" applyBorder="1" applyAlignment="1"/>
    <xf numFmtId="166" fontId="6" fillId="2" borderId="3" xfId="2" applyNumberFormat="1" applyFont="1" applyFill="1" applyBorder="1" applyAlignment="1">
      <alignment vertical="center"/>
    </xf>
    <xf numFmtId="166" fontId="6" fillId="0" borderId="3" xfId="2" applyNumberFormat="1" applyFont="1" applyFill="1" applyBorder="1" applyAlignment="1">
      <alignment vertical="center"/>
    </xf>
    <xf numFmtId="43" fontId="6" fillId="0" borderId="3" xfId="0" applyNumberFormat="1" applyFont="1" applyFill="1" applyBorder="1" applyAlignment="1">
      <alignment vertical="center"/>
    </xf>
    <xf numFmtId="9" fontId="6" fillId="0" borderId="3" xfId="1" applyFont="1" applyFill="1" applyBorder="1" applyAlignment="1">
      <alignment vertical="center"/>
    </xf>
    <xf numFmtId="0" fontId="23" fillId="2" borderId="0" xfId="0" applyFont="1" applyFill="1"/>
    <xf numFmtId="0" fontId="5" fillId="0" borderId="0" xfId="0" applyFont="1" applyFill="1" applyBorder="1" applyAlignment="1"/>
    <xf numFmtId="164" fontId="5" fillId="0" borderId="0" xfId="2" applyFont="1" applyFill="1" applyBorder="1" applyAlignment="1"/>
    <xf numFmtId="166" fontId="6" fillId="0" borderId="0" xfId="2" applyNumberFormat="1" applyFont="1" applyFill="1" applyBorder="1" applyAlignment="1"/>
    <xf numFmtId="166" fontId="36" fillId="0" borderId="0" xfId="2" applyNumberFormat="1" applyFont="1" applyFill="1" applyBorder="1" applyAlignment="1">
      <alignment vertical="center"/>
    </xf>
    <xf numFmtId="166" fontId="36" fillId="0" borderId="0" xfId="2" applyNumberFormat="1" applyFont="1" applyFill="1" applyBorder="1" applyAlignment="1"/>
    <xf numFmtId="4" fontId="36" fillId="5" borderId="21" xfId="0" applyNumberFormat="1" applyFont="1" applyFill="1" applyBorder="1" applyAlignment="1">
      <alignment horizontal="center"/>
    </xf>
    <xf numFmtId="9" fontId="36" fillId="5" borderId="21" xfId="1" applyFont="1" applyFill="1" applyBorder="1" applyAlignment="1">
      <alignment horizontal="center"/>
    </xf>
    <xf numFmtId="43" fontId="4" fillId="0" borderId="0" xfId="4" applyFont="1" applyAlignment="1"/>
    <xf numFmtId="0" fontId="37" fillId="0" borderId="0" xfId="0" applyFont="1" applyFill="1"/>
    <xf numFmtId="3" fontId="7" fillId="0" borderId="1" xfId="0" applyNumberFormat="1" applyFont="1" applyFill="1" applyBorder="1" applyAlignment="1"/>
    <xf numFmtId="164" fontId="14" fillId="0" borderId="0" xfId="2" applyFont="1" applyAlignment="1">
      <alignment horizontal="left" vertical="center"/>
    </xf>
    <xf numFmtId="0" fontId="52" fillId="8" borderId="22" xfId="0" applyFont="1" applyFill="1" applyBorder="1" applyAlignment="1">
      <alignment horizontal="left"/>
    </xf>
    <xf numFmtId="0" fontId="52" fillId="8" borderId="23" xfId="0" applyFont="1" applyFill="1" applyBorder="1" applyAlignment="1">
      <alignment horizontal="center"/>
    </xf>
    <xf numFmtId="0" fontId="52" fillId="8" borderId="24" xfId="0" applyFont="1" applyFill="1" applyBorder="1" applyAlignment="1">
      <alignment horizontal="center"/>
    </xf>
    <xf numFmtId="0" fontId="52" fillId="8" borderId="15" xfId="0" applyFont="1" applyFill="1" applyBorder="1" applyAlignment="1">
      <alignment horizontal="center"/>
    </xf>
    <xf numFmtId="0" fontId="52" fillId="8" borderId="0" xfId="0" applyFont="1" applyFill="1" applyBorder="1" applyAlignment="1"/>
    <xf numFmtId="0" fontId="52" fillId="8" borderId="16" xfId="0" applyFont="1" applyFill="1" applyBorder="1" applyAlignment="1"/>
    <xf numFmtId="0" fontId="4" fillId="0" borderId="15" xfId="0" applyFont="1" applyBorder="1"/>
    <xf numFmtId="43" fontId="4" fillId="0" borderId="0" xfId="0" applyNumberFormat="1" applyFont="1" applyBorder="1" applyAlignment="1">
      <alignment horizontal="center" vertical="center"/>
    </xf>
    <xf numFmtId="9" fontId="4" fillId="0" borderId="16" xfId="1" applyFont="1" applyBorder="1"/>
    <xf numFmtId="0" fontId="4" fillId="0" borderId="15" xfId="0" applyFont="1" applyBorder="1" applyAlignment="1"/>
    <xf numFmtId="43" fontId="4" fillId="0" borderId="5" xfId="0" applyNumberFormat="1" applyFont="1" applyBorder="1" applyAlignment="1">
      <alignment horizontal="center" vertical="center"/>
    </xf>
    <xf numFmtId="9" fontId="4" fillId="0" borderId="17" xfId="1" applyFont="1" applyBorder="1"/>
    <xf numFmtId="0" fontId="7" fillId="0" borderId="10" xfId="0" applyFont="1" applyBorder="1"/>
    <xf numFmtId="43" fontId="7" fillId="0" borderId="3" xfId="0" applyNumberFormat="1" applyFont="1" applyBorder="1" applyAlignment="1">
      <alignment horizontal="center" vertical="center"/>
    </xf>
    <xf numFmtId="9" fontId="7" fillId="0" borderId="18" xfId="1" applyFont="1" applyBorder="1"/>
    <xf numFmtId="0" fontId="37" fillId="0" borderId="0" xfId="0" applyFont="1" applyAlignment="1">
      <alignment horizontal="left" vertical="center" wrapText="1"/>
    </xf>
    <xf numFmtId="0" fontId="3" fillId="0" borderId="0" xfId="0" applyFont="1" applyBorder="1"/>
    <xf numFmtId="43" fontId="3" fillId="0" borderId="0" xfId="0" applyNumberFormat="1" applyFont="1" applyBorder="1" applyAlignment="1">
      <alignment horizontal="center" vertical="center"/>
    </xf>
    <xf numFmtId="9" fontId="3" fillId="0" borderId="0" xfId="1" applyFont="1" applyBorder="1"/>
    <xf numFmtId="43" fontId="3" fillId="0" borderId="0" xfId="0" applyNumberFormat="1" applyFont="1" applyFill="1" applyBorder="1" applyAlignment="1">
      <alignment horizontal="center" vertical="center"/>
    </xf>
    <xf numFmtId="9" fontId="3" fillId="0" borderId="0" xfId="1" applyFont="1" applyFill="1" applyBorder="1"/>
    <xf numFmtId="0" fontId="4" fillId="0" borderId="8" xfId="0" applyFont="1" applyBorder="1" applyAlignment="1">
      <alignment horizontal="left"/>
    </xf>
    <xf numFmtId="0" fontId="4" fillId="0" borderId="8" xfId="0" applyFont="1" applyBorder="1" applyAlignment="1">
      <alignment horizontal="center"/>
    </xf>
    <xf numFmtId="14" fontId="4" fillId="0" borderId="8" xfId="0" applyNumberFormat="1" applyFont="1" applyBorder="1" applyAlignment="1">
      <alignment horizontal="center"/>
    </xf>
    <xf numFmtId="43" fontId="4" fillId="0" borderId="8" xfId="4" applyFont="1" applyFill="1" applyBorder="1"/>
    <xf numFmtId="0" fontId="4" fillId="0" borderId="25" xfId="0" applyFont="1" applyBorder="1" applyAlignment="1">
      <alignment horizontal="left"/>
    </xf>
    <xf numFmtId="0" fontId="4" fillId="0" borderId="25" xfId="0" applyFont="1" applyBorder="1" applyAlignment="1">
      <alignment horizontal="center"/>
    </xf>
    <xf numFmtId="14" fontId="4" fillId="0" borderId="25" xfId="0" applyNumberFormat="1" applyFont="1" applyBorder="1" applyAlignment="1">
      <alignment horizontal="center"/>
    </xf>
    <xf numFmtId="43" fontId="4" fillId="0" borderId="25" xfId="4" applyFont="1" applyFill="1" applyBorder="1"/>
    <xf numFmtId="0" fontId="7" fillId="0" borderId="26" xfId="0" applyFont="1" applyBorder="1" applyAlignment="1">
      <alignment horizontal="left"/>
    </xf>
    <xf numFmtId="43" fontId="7" fillId="0" borderId="27" xfId="0" applyNumberFormat="1" applyFont="1" applyBorder="1" applyAlignment="1">
      <alignment horizontal="center" vertical="center"/>
    </xf>
    <xf numFmtId="9" fontId="7" fillId="0" borderId="28" xfId="1" applyFont="1" applyBorder="1"/>
    <xf numFmtId="43" fontId="7" fillId="0" borderId="19" xfId="0" applyNumberFormat="1" applyFont="1" applyBorder="1"/>
    <xf numFmtId="43" fontId="14" fillId="0" borderId="1" xfId="4" applyFont="1" applyBorder="1" applyAlignment="1"/>
    <xf numFmtId="166" fontId="7" fillId="0" borderId="0" xfId="2" applyNumberFormat="1" applyFont="1" applyBorder="1" applyAlignment="1">
      <alignment vertical="center"/>
    </xf>
    <xf numFmtId="43" fontId="14" fillId="0" borderId="0" xfId="4" applyFont="1" applyBorder="1" applyAlignment="1"/>
    <xf numFmtId="9" fontId="14" fillId="0" borderId="0" xfId="1" applyFont="1" applyAlignment="1">
      <alignment vertical="center"/>
    </xf>
    <xf numFmtId="0" fontId="4" fillId="2" borderId="0" xfId="0" applyFont="1" applyFill="1" applyBorder="1" applyAlignment="1"/>
    <xf numFmtId="166" fontId="4" fillId="2" borderId="0" xfId="2" applyNumberFormat="1" applyFont="1" applyFill="1" applyBorder="1" applyAlignment="1"/>
    <xf numFmtId="166" fontId="14" fillId="2" borderId="0" xfId="2" applyNumberFormat="1" applyFont="1" applyFill="1" applyBorder="1" applyAlignment="1">
      <alignment horizontal="left" vertical="center"/>
    </xf>
    <xf numFmtId="0" fontId="14" fillId="2" borderId="0" xfId="0" applyFont="1" applyFill="1" applyBorder="1" applyAlignment="1">
      <alignment vertical="center"/>
    </xf>
    <xf numFmtId="0" fontId="58" fillId="8" borderId="15" xfId="0" applyFont="1" applyFill="1" applyBorder="1" applyAlignment="1">
      <alignment horizontal="center"/>
    </xf>
    <xf numFmtId="0" fontId="58" fillId="8" borderId="0" xfId="0" applyFont="1" applyFill="1" applyBorder="1" applyAlignment="1"/>
    <xf numFmtId="0" fontId="58" fillId="8" borderId="16" xfId="0" applyFont="1" applyFill="1" applyBorder="1" applyAlignment="1"/>
    <xf numFmtId="0" fontId="54" fillId="0" borderId="15" xfId="0" applyFont="1" applyBorder="1"/>
    <xf numFmtId="43" fontId="54" fillId="0" borderId="0" xfId="0" applyNumberFormat="1" applyFont="1" applyBorder="1" applyAlignment="1">
      <alignment horizontal="center" vertical="center"/>
    </xf>
    <xf numFmtId="9" fontId="54" fillId="0" borderId="16" xfId="1" applyFont="1" applyBorder="1"/>
    <xf numFmtId="43" fontId="54" fillId="0" borderId="5" xfId="0" applyNumberFormat="1" applyFont="1" applyBorder="1" applyAlignment="1">
      <alignment horizontal="center" vertical="center"/>
    </xf>
    <xf numFmtId="0" fontId="35" fillId="0" borderId="10" xfId="0" applyFont="1" applyBorder="1"/>
    <xf numFmtId="43" fontId="35" fillId="0" borderId="3" xfId="0" applyNumberFormat="1" applyFont="1" applyBorder="1" applyAlignment="1">
      <alignment horizontal="center" vertical="center"/>
    </xf>
    <xf numFmtId="9" fontId="35" fillId="0" borderId="18" xfId="1" applyFont="1" applyBorder="1"/>
    <xf numFmtId="4" fontId="7" fillId="0" borderId="0" xfId="0" applyNumberFormat="1" applyFont="1" applyAlignment="1"/>
    <xf numFmtId="166" fontId="4" fillId="0" borderId="0" xfId="2" applyNumberFormat="1" applyFont="1" applyBorder="1" applyAlignment="1">
      <alignment vertical="center"/>
    </xf>
    <xf numFmtId="166" fontId="7" fillId="0" borderId="0" xfId="2" applyNumberFormat="1" applyFont="1" applyAlignment="1"/>
    <xf numFmtId="166" fontId="7" fillId="0" borderId="0" xfId="2" applyNumberFormat="1" applyFont="1" applyFill="1" applyAlignment="1"/>
    <xf numFmtId="9" fontId="7" fillId="0" borderId="0" xfId="1" applyFont="1" applyAlignment="1"/>
    <xf numFmtId="166" fontId="14" fillId="0" borderId="0" xfId="2" applyNumberFormat="1" applyFont="1" applyBorder="1" applyAlignment="1">
      <alignment vertical="center"/>
    </xf>
    <xf numFmtId="166" fontId="48" fillId="0" borderId="0" xfId="2" applyNumberFormat="1" applyFont="1" applyBorder="1" applyAlignment="1">
      <alignment vertical="center"/>
    </xf>
    <xf numFmtId="166" fontId="14" fillId="0" borderId="0" xfId="2" applyNumberFormat="1" applyFont="1" applyAlignment="1">
      <alignment vertical="center"/>
    </xf>
    <xf numFmtId="166" fontId="14" fillId="0" borderId="0" xfId="2" applyNumberFormat="1" applyFont="1" applyFill="1" applyAlignment="1"/>
    <xf numFmtId="9" fontId="7" fillId="0" borderId="6" xfId="1" applyFont="1" applyBorder="1" applyAlignment="1">
      <alignment vertical="center"/>
    </xf>
    <xf numFmtId="0" fontId="7" fillId="0" borderId="0" xfId="0" applyFont="1" applyAlignment="1">
      <alignment wrapText="1"/>
    </xf>
    <xf numFmtId="4" fontId="4" fillId="0" borderId="0" xfId="0" applyNumberFormat="1" applyFont="1" applyFill="1" applyAlignment="1"/>
    <xf numFmtId="4" fontId="59" fillId="0" borderId="0" xfId="0" applyNumberFormat="1" applyFont="1" applyFill="1" applyAlignment="1">
      <alignment vertical="center"/>
    </xf>
    <xf numFmtId="166" fontId="7" fillId="0" borderId="7" xfId="2" applyNumberFormat="1" applyFont="1" applyFill="1" applyBorder="1" applyAlignment="1">
      <alignment vertical="center"/>
    </xf>
    <xf numFmtId="4" fontId="7" fillId="0" borderId="7" xfId="0" applyNumberFormat="1" applyFont="1" applyFill="1" applyBorder="1" applyAlignment="1">
      <alignment vertical="center"/>
    </xf>
    <xf numFmtId="166" fontId="7" fillId="0" borderId="6" xfId="2" applyNumberFormat="1" applyFont="1" applyBorder="1" applyAlignment="1">
      <alignment vertical="center"/>
    </xf>
    <xf numFmtId="0" fontId="23" fillId="0" borderId="0" xfId="0" applyFont="1" applyAlignment="1">
      <alignment horizontal="left"/>
    </xf>
    <xf numFmtId="0" fontId="4" fillId="0" borderId="0" xfId="0" applyFont="1" applyAlignment="1">
      <alignment horizontal="left" wrapText="1"/>
    </xf>
    <xf numFmtId="166" fontId="4" fillId="0" borderId="0" xfId="2" applyNumberFormat="1" applyFont="1" applyAlignment="1">
      <alignment horizontal="left" wrapText="1"/>
    </xf>
    <xf numFmtId="4" fontId="4" fillId="0" borderId="0" xfId="0" applyNumberFormat="1" applyFont="1" applyAlignment="1">
      <alignment horizontal="left"/>
    </xf>
    <xf numFmtId="166" fontId="7" fillId="2" borderId="4" xfId="2" applyNumberFormat="1" applyFont="1" applyFill="1" applyBorder="1" applyAlignment="1">
      <alignment vertical="center"/>
    </xf>
    <xf numFmtId="166" fontId="7" fillId="0" borderId="4" xfId="2" applyNumberFormat="1" applyFont="1" applyFill="1" applyBorder="1" applyAlignment="1"/>
    <xf numFmtId="4" fontId="7" fillId="0" borderId="4" xfId="0" applyNumberFormat="1" applyFont="1" applyBorder="1" applyAlignment="1"/>
    <xf numFmtId="9" fontId="7" fillId="0" borderId="4" xfId="1" applyFont="1" applyBorder="1" applyAlignment="1"/>
    <xf numFmtId="4" fontId="4" fillId="0" borderId="0" xfId="0" applyNumberFormat="1" applyFont="1" applyFill="1" applyAlignment="1">
      <alignment vertical="center"/>
    </xf>
    <xf numFmtId="9" fontId="14" fillId="0" borderId="4" xfId="1" applyFont="1" applyFill="1" applyBorder="1" applyAlignment="1"/>
    <xf numFmtId="166" fontId="4" fillId="0" borderId="0" xfId="0" applyNumberFormat="1" applyFont="1" applyFill="1" applyAlignment="1"/>
    <xf numFmtId="166" fontId="7" fillId="0" borderId="0" xfId="0" applyNumberFormat="1" applyFont="1" applyAlignment="1"/>
    <xf numFmtId="164" fontId="7" fillId="0" borderId="0" xfId="2" applyFont="1" applyBorder="1" applyAlignment="1"/>
    <xf numFmtId="164" fontId="7" fillId="0" borderId="0" xfId="2" applyFont="1" applyAlignment="1"/>
    <xf numFmtId="4" fontId="7" fillId="0" borderId="6" xfId="0" applyNumberFormat="1" applyFont="1" applyFill="1" applyBorder="1" applyAlignment="1">
      <alignment vertical="center"/>
    </xf>
    <xf numFmtId="9" fontId="7" fillId="0" borderId="6" xfId="1" applyFont="1" applyFill="1" applyBorder="1" applyAlignment="1">
      <alignment vertical="center"/>
    </xf>
    <xf numFmtId="0" fontId="7" fillId="4" borderId="0" xfId="0" applyFont="1" applyFill="1" applyAlignment="1">
      <alignment horizontal="left" wrapText="1"/>
    </xf>
    <xf numFmtId="166" fontId="4" fillId="4" borderId="0" xfId="2" applyNumberFormat="1" applyFont="1" applyFill="1" applyAlignment="1">
      <alignment horizontal="left" wrapText="1"/>
    </xf>
    <xf numFmtId="0" fontId="7" fillId="4" borderId="0" xfId="0" applyFont="1" applyFill="1" applyAlignment="1">
      <alignment vertical="center" wrapText="1"/>
    </xf>
    <xf numFmtId="0" fontId="4" fillId="4" borderId="0" xfId="0" applyFont="1" applyFill="1" applyAlignment="1">
      <alignment horizontal="left" wrapText="1"/>
    </xf>
    <xf numFmtId="166" fontId="4" fillId="4" borderId="0" xfId="2" applyNumberFormat="1" applyFont="1" applyFill="1" applyBorder="1" applyAlignment="1">
      <alignment vertical="center"/>
    </xf>
    <xf numFmtId="166" fontId="4" fillId="4" borderId="0" xfId="2" applyNumberFormat="1" applyFont="1" applyFill="1" applyAlignment="1"/>
    <xf numFmtId="0" fontId="4" fillId="4" borderId="0" xfId="0" applyFont="1" applyFill="1" applyAlignment="1">
      <alignment horizontal="left" vertical="center" wrapText="1"/>
    </xf>
    <xf numFmtId="0" fontId="4" fillId="4" borderId="0" xfId="0" applyFont="1" applyFill="1" applyAlignment="1">
      <alignment wrapText="1"/>
    </xf>
    <xf numFmtId="0" fontId="4" fillId="4" borderId="0" xfId="0" applyFont="1" applyFill="1" applyAlignment="1"/>
    <xf numFmtId="0" fontId="4" fillId="4" borderId="0" xfId="0" applyFont="1" applyFill="1" applyAlignment="1">
      <alignment vertical="center" wrapText="1"/>
    </xf>
    <xf numFmtId="166" fontId="9" fillId="4" borderId="0" xfId="2" applyNumberFormat="1" applyFont="1" applyFill="1" applyAlignment="1"/>
    <xf numFmtId="0" fontId="37" fillId="4" borderId="0" xfId="0" applyFont="1" applyFill="1" applyAlignment="1">
      <alignment vertical="center" wrapText="1"/>
    </xf>
    <xf numFmtId="0" fontId="60" fillId="4" borderId="0" xfId="0" applyFont="1" applyFill="1" applyAlignment="1">
      <alignment horizontal="center" vertical="center"/>
    </xf>
    <xf numFmtId="166" fontId="4" fillId="0" borderId="0" xfId="0" applyNumberFormat="1" applyFont="1" applyAlignment="1"/>
    <xf numFmtId="43" fontId="7" fillId="0" borderId="6" xfId="0" applyNumberFormat="1" applyFont="1" applyBorder="1" applyAlignment="1">
      <alignment vertical="center"/>
    </xf>
    <xf numFmtId="1" fontId="36" fillId="5" borderId="0" xfId="2" applyNumberFormat="1" applyFont="1" applyFill="1" applyBorder="1" applyAlignment="1">
      <alignment horizontal="center" vertical="center"/>
    </xf>
    <xf numFmtId="4" fontId="36" fillId="5" borderId="0" xfId="0" applyNumberFormat="1" applyFont="1" applyFill="1" applyBorder="1" applyAlignment="1">
      <alignment horizontal="center"/>
    </xf>
    <xf numFmtId="9" fontId="36" fillId="5" borderId="0" xfId="1" applyFont="1" applyFill="1" applyBorder="1" applyAlignment="1">
      <alignment horizontal="center"/>
    </xf>
    <xf numFmtId="4" fontId="4" fillId="0" borderId="0" xfId="2" applyNumberFormat="1" applyFont="1" applyFill="1" applyAlignment="1">
      <alignment vertical="center"/>
    </xf>
    <xf numFmtId="164" fontId="23" fillId="0" borderId="0" xfId="2" applyFont="1"/>
    <xf numFmtId="4" fontId="4" fillId="0" borderId="0" xfId="2" applyNumberFormat="1" applyFont="1" applyAlignment="1">
      <alignment vertical="center"/>
    </xf>
    <xf numFmtId="166" fontId="14" fillId="2" borderId="4" xfId="2" applyNumberFormat="1" applyFont="1" applyFill="1" applyBorder="1" applyAlignment="1"/>
    <xf numFmtId="4" fontId="4" fillId="2" borderId="0" xfId="0" applyNumberFormat="1" applyFont="1" applyFill="1" applyAlignment="1"/>
    <xf numFmtId="166" fontId="14" fillId="0" borderId="4" xfId="2" applyNumberFormat="1" applyFont="1" applyBorder="1" applyAlignment="1"/>
    <xf numFmtId="43" fontId="7" fillId="0" borderId="0" xfId="0" applyNumberFormat="1" applyFont="1" applyBorder="1" applyAlignment="1">
      <alignment vertical="center"/>
    </xf>
    <xf numFmtId="4" fontId="36" fillId="5" borderId="25" xfId="0" applyNumberFormat="1" applyFont="1" applyFill="1" applyBorder="1" applyAlignment="1">
      <alignment horizontal="center"/>
    </xf>
    <xf numFmtId="166" fontId="6" fillId="2" borderId="1" xfId="2" applyNumberFormat="1" applyFont="1" applyFill="1" applyBorder="1" applyAlignment="1">
      <alignment vertical="center"/>
    </xf>
    <xf numFmtId="43" fontId="6" fillId="0" borderId="1" xfId="0" applyNumberFormat="1" applyFont="1" applyFill="1" applyBorder="1" applyAlignment="1">
      <alignment vertical="center"/>
    </xf>
    <xf numFmtId="9" fontId="6" fillId="0" borderId="1" xfId="1" applyFont="1" applyFill="1" applyBorder="1" applyAlignment="1">
      <alignment vertical="center"/>
    </xf>
    <xf numFmtId="0" fontId="7" fillId="0" borderId="0" xfId="0" applyFont="1" applyFill="1" applyAlignment="1">
      <alignment wrapText="1"/>
    </xf>
    <xf numFmtId="0" fontId="4" fillId="0" borderId="0" xfId="0" applyFont="1" applyFill="1" applyAlignment="1">
      <alignment vertical="center" wrapText="1"/>
    </xf>
    <xf numFmtId="4" fontId="7" fillId="0" borderId="0" xfId="0" applyNumberFormat="1" applyFont="1" applyAlignment="1">
      <alignment wrapText="1"/>
    </xf>
    <xf numFmtId="166" fontId="7" fillId="2" borderId="7" xfId="2" applyNumberFormat="1" applyFont="1" applyFill="1" applyBorder="1" applyAlignment="1">
      <alignment vertical="center"/>
    </xf>
    <xf numFmtId="4" fontId="14" fillId="0" borderId="7" xfId="0" applyNumberFormat="1" applyFont="1" applyBorder="1" applyAlignment="1"/>
    <xf numFmtId="9" fontId="14" fillId="0" borderId="7" xfId="1" applyFont="1" applyBorder="1" applyAlignment="1"/>
    <xf numFmtId="166" fontId="14" fillId="0" borderId="0" xfId="2" applyNumberFormat="1" applyFont="1" applyBorder="1" applyAlignment="1"/>
    <xf numFmtId="166" fontId="23" fillId="0" borderId="0" xfId="2" applyNumberFormat="1" applyFont="1" applyBorder="1" applyAlignment="1">
      <alignment vertical="center"/>
    </xf>
    <xf numFmtId="4" fontId="13" fillId="0" borderId="0" xfId="0" applyNumberFormat="1" applyFont="1" applyFill="1" applyAlignment="1">
      <alignment horizontal="center"/>
    </xf>
    <xf numFmtId="164" fontId="7" fillId="0" borderId="0" xfId="2" applyFont="1" applyFill="1" applyAlignment="1"/>
    <xf numFmtId="0" fontId="13" fillId="0" borderId="0" xfId="0" applyFont="1" applyFill="1" applyAlignment="1">
      <alignment horizontal="center"/>
    </xf>
    <xf numFmtId="166" fontId="7" fillId="0" borderId="0" xfId="2" applyNumberFormat="1" applyFont="1" applyFill="1" applyAlignment="1">
      <alignment vertical="center"/>
    </xf>
    <xf numFmtId="9" fontId="13" fillId="0" borderId="0" xfId="1" applyFont="1" applyFill="1" applyAlignment="1">
      <alignment horizontal="center"/>
    </xf>
    <xf numFmtId="4" fontId="7" fillId="0" borderId="0" xfId="0" applyNumberFormat="1" applyFont="1" applyFill="1" applyAlignment="1">
      <alignment horizontal="center"/>
    </xf>
    <xf numFmtId="0" fontId="7" fillId="0" borderId="0" xfId="0" applyFont="1" applyFill="1" applyAlignment="1">
      <alignment horizontal="center"/>
    </xf>
    <xf numFmtId="9" fontId="7" fillId="0" borderId="0" xfId="1" applyFont="1" applyFill="1" applyAlignment="1">
      <alignment horizontal="center"/>
    </xf>
    <xf numFmtId="9" fontId="4" fillId="0" borderId="0" xfId="1" applyFont="1" applyFill="1"/>
    <xf numFmtId="0" fontId="62" fillId="0" borderId="0" xfId="0" applyFont="1" applyAlignment="1"/>
    <xf numFmtId="0" fontId="34" fillId="0" borderId="0" xfId="0" applyFont="1" applyFill="1" applyAlignment="1"/>
    <xf numFmtId="0" fontId="45" fillId="9" borderId="8" xfId="0" applyFont="1" applyFill="1" applyBorder="1" applyAlignment="1">
      <alignment horizontal="center"/>
    </xf>
    <xf numFmtId="0" fontId="47" fillId="6" borderId="8" xfId="0" applyFont="1" applyFill="1" applyBorder="1" applyAlignment="1">
      <alignment horizontal="center"/>
    </xf>
    <xf numFmtId="43" fontId="47" fillId="6" borderId="8" xfId="0" applyNumberFormat="1" applyFont="1" applyFill="1" applyBorder="1"/>
    <xf numFmtId="0" fontId="8" fillId="0" borderId="0" xfId="0" applyFont="1" applyAlignment="1">
      <alignment horizontal="left" vertical="center" wrapText="1"/>
    </xf>
    <xf numFmtId="0" fontId="14" fillId="0" borderId="0" xfId="0" applyFont="1" applyAlignment="1">
      <alignment horizontal="center"/>
    </xf>
    <xf numFmtId="0" fontId="15" fillId="0" borderId="0" xfId="0" applyFont="1" applyAlignment="1">
      <alignment horizontal="center"/>
    </xf>
    <xf numFmtId="0" fontId="7" fillId="0" borderId="0" xfId="0" applyFont="1" applyAlignment="1">
      <alignment horizontal="center" vertical="center"/>
    </xf>
    <xf numFmtId="0" fontId="14" fillId="0" borderId="0" xfId="0" applyFont="1" applyAlignment="1">
      <alignment horizontal="center" vertical="center"/>
    </xf>
    <xf numFmtId="0" fontId="26" fillId="0" borderId="0" xfId="0" applyFont="1" applyAlignment="1">
      <alignment horizontal="center"/>
    </xf>
    <xf numFmtId="0" fontId="4" fillId="4" borderId="0" xfId="0" applyFont="1" applyFill="1" applyAlignment="1">
      <alignment horizontal="left" wrapText="1"/>
    </xf>
    <xf numFmtId="0" fontId="14" fillId="0" borderId="0" xfId="0" applyFont="1" applyAlignment="1">
      <alignment horizontal="left" vertical="center"/>
    </xf>
    <xf numFmtId="0" fontId="58" fillId="8" borderId="22" xfId="0" applyFont="1" applyFill="1" applyBorder="1" applyAlignment="1">
      <alignment horizontal="center"/>
    </xf>
    <xf numFmtId="0" fontId="58" fillId="8" borderId="23" xfId="0" applyFont="1" applyFill="1" applyBorder="1" applyAlignment="1">
      <alignment horizontal="center"/>
    </xf>
    <xf numFmtId="0" fontId="4" fillId="0" borderId="0" xfId="0" applyFont="1" applyAlignment="1">
      <alignment horizontal="left"/>
    </xf>
    <xf numFmtId="0" fontId="4" fillId="0" borderId="0" xfId="0" applyFont="1" applyAlignment="1">
      <alignment horizontal="left" wrapText="1"/>
    </xf>
    <xf numFmtId="4" fontId="4" fillId="0" borderId="0" xfId="0" applyNumberFormat="1" applyFont="1" applyAlignment="1">
      <alignment horizontal="left" wrapText="1"/>
    </xf>
    <xf numFmtId="0" fontId="4" fillId="0" borderId="0" xfId="0" applyFont="1" applyFill="1" applyAlignment="1">
      <alignment horizontal="left" vertical="center" wrapText="1"/>
    </xf>
    <xf numFmtId="0" fontId="37" fillId="0" borderId="0" xfId="0" applyFont="1" applyAlignment="1">
      <alignment horizontal="center" wrapText="1"/>
    </xf>
    <xf numFmtId="0" fontId="57" fillId="5" borderId="20" xfId="0" applyFont="1" applyFill="1" applyBorder="1" applyAlignment="1">
      <alignment horizontal="center"/>
    </xf>
    <xf numFmtId="0" fontId="57" fillId="5" borderId="4" xfId="0" applyFont="1" applyFill="1" applyBorder="1" applyAlignment="1">
      <alignment horizontal="center"/>
    </xf>
    <xf numFmtId="0" fontId="4" fillId="0" borderId="0" xfId="0" applyFont="1" applyAlignment="1">
      <alignment horizontal="left" vertical="center" wrapText="1"/>
    </xf>
    <xf numFmtId="0" fontId="37" fillId="0" borderId="0" xfId="0" applyFont="1" applyAlignment="1">
      <alignment horizontal="left" vertical="center" wrapText="1"/>
    </xf>
    <xf numFmtId="0" fontId="52" fillId="8" borderId="22" xfId="0" applyFont="1" applyFill="1" applyBorder="1" applyAlignment="1">
      <alignment horizontal="center"/>
    </xf>
    <xf numFmtId="0" fontId="52" fillId="8" borderId="23" xfId="0" applyFont="1" applyFill="1" applyBorder="1" applyAlignment="1">
      <alignment horizontal="center"/>
    </xf>
    <xf numFmtId="0" fontId="37" fillId="0" borderId="0" xfId="0" applyFont="1" applyFill="1" applyAlignment="1">
      <alignment horizontal="left" vertical="center" wrapText="1"/>
    </xf>
    <xf numFmtId="0" fontId="37" fillId="0" borderId="0" xfId="0" applyFont="1" applyAlignment="1">
      <alignment horizontal="left"/>
    </xf>
    <xf numFmtId="0" fontId="37" fillId="2" borderId="0" xfId="0" applyFont="1" applyFill="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Alignment="1">
      <alignment horizontal="left" wrapText="1"/>
    </xf>
    <xf numFmtId="0" fontId="37" fillId="0" borderId="0" xfId="0" applyFont="1" applyAlignment="1">
      <alignment horizontal="left" vertical="center"/>
    </xf>
    <xf numFmtId="0" fontId="4" fillId="0" borderId="0" xfId="0" applyFont="1" applyFill="1" applyAlignment="1">
      <alignment horizontal="left" wrapText="1"/>
    </xf>
    <xf numFmtId="0" fontId="37"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37" fillId="6" borderId="0" xfId="0" applyFont="1" applyFill="1" applyAlignment="1">
      <alignment horizontal="left" vertical="center" wrapText="1"/>
    </xf>
    <xf numFmtId="0" fontId="4" fillId="2" borderId="0" xfId="0" applyFont="1" applyFill="1" applyAlignment="1">
      <alignment horizontal="left" vertical="center" wrapText="1"/>
    </xf>
    <xf numFmtId="0" fontId="4" fillId="0" borderId="0" xfId="0" applyFont="1" applyFill="1" applyAlignment="1">
      <alignment horizontal="left" vertical="top" wrapText="1"/>
    </xf>
  </cellXfs>
  <cellStyles count="5">
    <cellStyle name="Millares 2" xfId="2"/>
    <cellStyle name="Millares 2 2" xfId="4"/>
    <cellStyle name="Millares 2 2 2 2" xf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683559</xdr:colOff>
      <xdr:row>0</xdr:row>
      <xdr:rowOff>6979</xdr:rowOff>
    </xdr:from>
    <xdr:ext cx="2352648" cy="661585"/>
    <xdr:pic>
      <xdr:nvPicPr>
        <xdr:cNvPr id="2" name="Imagen 1" descr="C:\Users\Sr. Reyes\Desktop\LOGO NUEVO SRSM\timbrado_Metropolitano.png">
          <a:extLst>
            <a:ext uri="{FF2B5EF4-FFF2-40B4-BE49-F238E27FC236}">
              <a16:creationId xmlns="" xmlns:a16="http://schemas.microsoft.com/office/drawing/2014/main" id="{00000000-0008-0000-09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4281" b="83838"/>
        <a:stretch/>
      </xdr:blipFill>
      <xdr:spPr bwMode="auto">
        <a:xfrm>
          <a:off x="683559" y="6979"/>
          <a:ext cx="2352648" cy="661585"/>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979713</xdr:colOff>
      <xdr:row>0</xdr:row>
      <xdr:rowOff>0</xdr:rowOff>
    </xdr:from>
    <xdr:ext cx="2437797" cy="647333"/>
    <xdr:pic>
      <xdr:nvPicPr>
        <xdr:cNvPr id="3" name="Imagen 2" descr="https://ci3.googleusercontent.com/proxy/l7S5scsKB-aNxeX0rcenm2rBNpE8vtkLN-83MxrahuxiAwxrkBPxqQ6d044x-LW4mFGkNKi0NAsVPXedd3WBZvnIdrYrgV502tcd6H-ltxO0A7wUkAXQXiX6iqagPzX4Son8=s0-d-e1-ft#https://drive.google.com/uc?id=1ZeuRMNJ_ubq0Egzw9DzttKC7pmv8pvki&amp;export=download">
          <a:extLst>
            <a:ext uri="{FF2B5EF4-FFF2-40B4-BE49-F238E27FC236}">
              <a16:creationId xmlns=""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51313" y="0"/>
          <a:ext cx="2437797" cy="6473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133350</xdr:colOff>
      <xdr:row>54</xdr:row>
      <xdr:rowOff>28575</xdr:rowOff>
    </xdr:from>
    <xdr:ext cx="11462327" cy="3251285"/>
    <xdr:pic>
      <xdr:nvPicPr>
        <xdr:cNvPr id="4" name="Imagen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3"/>
        <a:stretch>
          <a:fillRect/>
        </a:stretch>
      </xdr:blipFill>
      <xdr:spPr>
        <a:xfrm>
          <a:off x="133350" y="12331700"/>
          <a:ext cx="11462327" cy="325128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38099</xdr:colOff>
      <xdr:row>0</xdr:row>
      <xdr:rowOff>51706</xdr:rowOff>
    </xdr:from>
    <xdr:to>
      <xdr:col>1</xdr:col>
      <xdr:colOff>4206875</xdr:colOff>
      <xdr:row>3</xdr:row>
      <xdr:rowOff>262371</xdr:rowOff>
    </xdr:to>
    <xdr:pic>
      <xdr:nvPicPr>
        <xdr:cNvPr id="2" name="Imagen 1" descr="C:\Users\Sr. Reyes\Desktop\LOGO NUEVO SRSM\timbrado_Metropolitano.png">
          <a:extLst>
            <a:ext uri="{FF2B5EF4-FFF2-40B4-BE49-F238E27FC236}">
              <a16:creationId xmlns="" xmlns:a16="http://schemas.microsoft.com/office/drawing/2014/main" id="{00000000-0008-0000-08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4281" b="83838"/>
        <a:stretch/>
      </xdr:blipFill>
      <xdr:spPr bwMode="auto">
        <a:xfrm>
          <a:off x="167639" y="51706"/>
          <a:ext cx="4168776" cy="10564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1848716</xdr:colOff>
      <xdr:row>0</xdr:row>
      <xdr:rowOff>207818</xdr:rowOff>
    </xdr:from>
    <xdr:to>
      <xdr:col>4</xdr:col>
      <xdr:colOff>2483210</xdr:colOff>
      <xdr:row>4</xdr:row>
      <xdr:rowOff>191655</xdr:rowOff>
    </xdr:to>
    <xdr:pic>
      <xdr:nvPicPr>
        <xdr:cNvPr id="3" name="Imagen 2" descr="https://ci3.googleusercontent.com/proxy/l7S5scsKB-aNxeX0rcenm2rBNpE8vtkLN-83MxrahuxiAwxrkBPxqQ6d044x-LW4mFGkNKi0NAsVPXedd3WBZvnIdrYrgV502tcd6H-ltxO0A7wUkAXQXiX6iqagPzX4Son8=s0-d-e1-ft#https://drive.google.com/uc?id=1ZeuRMNJ_ubq0Egzw9DzttKC7pmv8pvki&amp;export=download">
          <a:extLst>
            <a:ext uri="{FF2B5EF4-FFF2-40B4-BE49-F238E27FC236}">
              <a16:creationId xmlns=""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0616" y="207818"/>
          <a:ext cx="4307334" cy="1111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1309255</xdr:colOff>
      <xdr:row>42</xdr:row>
      <xdr:rowOff>186459</xdr:rowOff>
    </xdr:from>
    <xdr:to>
      <xdr:col>4</xdr:col>
      <xdr:colOff>1633682</xdr:colOff>
      <xdr:row>54</xdr:row>
      <xdr:rowOff>103995</xdr:rowOff>
    </xdr:to>
    <xdr:pic>
      <xdr:nvPicPr>
        <xdr:cNvPr id="4" name="Imagen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3"/>
        <a:stretch>
          <a:fillRect/>
        </a:stretch>
      </xdr:blipFill>
      <xdr:spPr>
        <a:xfrm>
          <a:off x="1438795" y="12035559"/>
          <a:ext cx="11449627" cy="33008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1028700</xdr:colOff>
      <xdr:row>0</xdr:row>
      <xdr:rowOff>95250</xdr:rowOff>
    </xdr:from>
    <xdr:to>
      <xdr:col>10</xdr:col>
      <xdr:colOff>986197</xdr:colOff>
      <xdr:row>2</xdr:row>
      <xdr:rowOff>209550</xdr:rowOff>
    </xdr:to>
    <xdr:pic>
      <xdr:nvPicPr>
        <xdr:cNvPr id="3" name="Imagen 2" descr="https://ci3.googleusercontent.com/proxy/l7S5scsKB-aNxeX0rcenm2rBNpE8vtkLN-83MxrahuxiAwxrkBPxqQ6d044x-LW4mFGkNKi0NAsVPXedd3WBZvnIdrYrgV502tcd6H-ltxO0A7wUkAXQXiX6iqagPzX4Son8=s0-d-e1-ft#https://drive.google.com/uc?id=1ZeuRMNJ_ubq0Egzw9DzttKC7pmv8pvki&amp;export=download">
          <a:extLst>
            <a:ext uri="{FF2B5EF4-FFF2-40B4-BE49-F238E27FC236}">
              <a16:creationId xmlns=""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1860" y="95250"/>
          <a:ext cx="228921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3114222</xdr:colOff>
      <xdr:row>85</xdr:row>
      <xdr:rowOff>243114</xdr:rowOff>
    </xdr:from>
    <xdr:to>
      <xdr:col>18</xdr:col>
      <xdr:colOff>193799</xdr:colOff>
      <xdr:row>100</xdr:row>
      <xdr:rowOff>49072</xdr:rowOff>
    </xdr:to>
    <xdr:pic>
      <xdr:nvPicPr>
        <xdr:cNvPr id="4" name="Imagen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2"/>
        <a:stretch>
          <a:fillRect/>
        </a:stretch>
      </xdr:blipFill>
      <xdr:spPr>
        <a:xfrm>
          <a:off x="3114222" y="20199894"/>
          <a:ext cx="11457882" cy="3250198"/>
        </a:xfrm>
        <a:prstGeom prst="rect">
          <a:avLst/>
        </a:prstGeom>
      </xdr:spPr>
    </xdr:pic>
    <xdr:clientData/>
  </xdr:twoCellAnchor>
  <xdr:oneCellAnchor>
    <xdr:from>
      <xdr:col>0</xdr:col>
      <xdr:colOff>0</xdr:colOff>
      <xdr:row>0</xdr:row>
      <xdr:rowOff>104775</xdr:rowOff>
    </xdr:from>
    <xdr:ext cx="2682874" cy="815975"/>
    <xdr:pic>
      <xdr:nvPicPr>
        <xdr:cNvPr id="5" name="Imagen 4" descr="C:\Users\Sr. Reyes\Desktop\LOGO NUEVO SRSM\timbrado_Metropolitano.png">
          <a:extLst>
            <a:ext uri="{FF2B5EF4-FFF2-40B4-BE49-F238E27FC236}">
              <a16:creationId xmlns="" xmlns:a16="http://schemas.microsoft.com/office/drawing/2014/main" id="{00000000-0008-0000-0B00-000005000000}"/>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4281" b="83838"/>
        <a:stretch/>
      </xdr:blipFill>
      <xdr:spPr bwMode="auto">
        <a:xfrm>
          <a:off x="0" y="104775"/>
          <a:ext cx="2682874" cy="815975"/>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2174081</xdr:colOff>
      <xdr:row>45</xdr:row>
      <xdr:rowOff>10319</xdr:rowOff>
    </xdr:from>
    <xdr:to>
      <xdr:col>17</xdr:col>
      <xdr:colOff>15204</xdr:colOff>
      <xdr:row>58</xdr:row>
      <xdr:rowOff>48052</xdr:rowOff>
    </xdr:to>
    <xdr:pic>
      <xdr:nvPicPr>
        <xdr:cNvPr id="7" name="Imagen 6">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2"/>
        <a:stretch>
          <a:fillRect/>
        </a:stretch>
      </xdr:blipFill>
      <xdr:spPr>
        <a:xfrm>
          <a:off x="2174081" y="10548779"/>
          <a:ext cx="11390753" cy="31085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1266826</xdr:colOff>
      <xdr:row>0</xdr:row>
      <xdr:rowOff>0</xdr:rowOff>
    </xdr:from>
    <xdr:to>
      <xdr:col>4</xdr:col>
      <xdr:colOff>1428751</xdr:colOff>
      <xdr:row>3</xdr:row>
      <xdr:rowOff>133162</xdr:rowOff>
    </xdr:to>
    <xdr:pic>
      <xdr:nvPicPr>
        <xdr:cNvPr id="2" name="Imagen 1" descr="https://ci3.googleusercontent.com/proxy/l7S5scsKB-aNxeX0rcenm2rBNpE8vtkLN-83MxrahuxiAwxrkBPxqQ6d044x-LW4mFGkNKi0NAsVPXedd3WBZvnIdrYrgV502tcd6H-ltxO0A7wUkAXQXiX6iqagPzX4Son8=s0-d-e1-ft#https://drive.google.com/uc?id=1ZeuRMNJ_ubq0Egzw9DzttKC7pmv8pvki&amp;export=download">
          <a:extLst>
            <a:ext uri="{FF2B5EF4-FFF2-40B4-BE49-F238E27FC236}">
              <a16:creationId xmlns=""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20966" y="0"/>
          <a:ext cx="2143125" cy="681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581025</xdr:colOff>
      <xdr:row>0</xdr:row>
      <xdr:rowOff>0</xdr:rowOff>
    </xdr:from>
    <xdr:to>
      <xdr:col>1</xdr:col>
      <xdr:colOff>1628775</xdr:colOff>
      <xdr:row>3</xdr:row>
      <xdr:rowOff>104775</xdr:rowOff>
    </xdr:to>
    <xdr:pic>
      <xdr:nvPicPr>
        <xdr:cNvPr id="3" name="Imagen 2" descr="C:\Users\Sr. Reyes\Desktop\LOGO NUEVO SRSM\timbrado_Metropolitano.png">
          <a:extLst>
            <a:ext uri="{FF2B5EF4-FFF2-40B4-BE49-F238E27FC236}">
              <a16:creationId xmlns="" xmlns:a16="http://schemas.microsoft.com/office/drawing/2014/main" id="{00000000-0008-0000-19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44281" b="83838"/>
        <a:stretch/>
      </xdr:blipFill>
      <xdr:spPr bwMode="auto">
        <a:xfrm>
          <a:off x="581025" y="0"/>
          <a:ext cx="2327910" cy="65341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874872</xdr:colOff>
      <xdr:row>68</xdr:row>
      <xdr:rowOff>51435</xdr:rowOff>
    </xdr:from>
    <xdr:to>
      <xdr:col>9</xdr:col>
      <xdr:colOff>852012</xdr:colOff>
      <xdr:row>86</xdr:row>
      <xdr:rowOff>10880</xdr:rowOff>
    </xdr:to>
    <xdr:pic>
      <xdr:nvPicPr>
        <xdr:cNvPr id="4" name="Imagen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3"/>
        <a:stretch>
          <a:fillRect/>
        </a:stretch>
      </xdr:blipFill>
      <xdr:spPr>
        <a:xfrm>
          <a:off x="874872" y="8128635"/>
          <a:ext cx="10142220" cy="32512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81757</xdr:colOff>
      <xdr:row>0</xdr:row>
      <xdr:rowOff>57678</xdr:rowOff>
    </xdr:from>
    <xdr:to>
      <xdr:col>1</xdr:col>
      <xdr:colOff>2122489</xdr:colOff>
      <xdr:row>3</xdr:row>
      <xdr:rowOff>119591</xdr:rowOff>
    </xdr:to>
    <xdr:pic>
      <xdr:nvPicPr>
        <xdr:cNvPr id="2" name="Imagen 1" descr="C:\Users\Sr. Reyes\Desktop\LOGO NUEVO SRSM\timbrado_Metropolitano.png">
          <a:extLst>
            <a:ext uri="{FF2B5EF4-FFF2-40B4-BE49-F238E27FC236}">
              <a16:creationId xmlns="" xmlns:a16="http://schemas.microsoft.com/office/drawing/2014/main" id="{00000000-0008-0000-07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4281" b="83838"/>
        <a:stretch/>
      </xdr:blipFill>
      <xdr:spPr bwMode="auto">
        <a:xfrm>
          <a:off x="81757" y="57678"/>
          <a:ext cx="2243932" cy="722313"/>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535782</xdr:colOff>
      <xdr:row>0</xdr:row>
      <xdr:rowOff>47625</xdr:rowOff>
    </xdr:from>
    <xdr:to>
      <xdr:col>6</xdr:col>
      <xdr:colOff>1002506</xdr:colOff>
      <xdr:row>3</xdr:row>
      <xdr:rowOff>107633</xdr:rowOff>
    </xdr:to>
    <xdr:pic>
      <xdr:nvPicPr>
        <xdr:cNvPr id="3" name="Imagen 2" descr="https://ci3.googleusercontent.com/proxy/l7S5scsKB-aNxeX0rcenm2rBNpE8vtkLN-83MxrahuxiAwxrkBPxqQ6d044x-LW4mFGkNKi0NAsVPXedd3WBZvnIdrYrgV502tcd6H-ltxO0A7wUkAXQXiX6iqagPzX4Son8=s0-d-e1-ft#https://drive.google.com/uc?id=1ZeuRMNJ_ubq0Egzw9DzttKC7pmv8pvki&amp;export=download">
          <a:extLst>
            <a:ext uri="{FF2B5EF4-FFF2-40B4-BE49-F238E27FC236}">
              <a16:creationId xmlns=""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02942" y="47625"/>
          <a:ext cx="2524124" cy="722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2265217</xdr:colOff>
      <xdr:row>881</xdr:row>
      <xdr:rowOff>76201</xdr:rowOff>
    </xdr:from>
    <xdr:to>
      <xdr:col>7</xdr:col>
      <xdr:colOff>109741</xdr:colOff>
      <xdr:row>896</xdr:row>
      <xdr:rowOff>58966</xdr:rowOff>
    </xdr:to>
    <xdr:pic>
      <xdr:nvPicPr>
        <xdr:cNvPr id="4" name="Imagen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3"/>
        <a:stretch>
          <a:fillRect/>
        </a:stretch>
      </xdr:blipFill>
      <xdr:spPr>
        <a:xfrm>
          <a:off x="2470957" y="178384201"/>
          <a:ext cx="11513376" cy="33127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francisca.castro\Downloads\Formulario%20nuevo%20de%20la%20ejecucion%20presupuestaria%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Base - No tocar"/>
      <sheetName val="Criterios - No tocar"/>
      <sheetName val="MENE2"/>
      <sheetName val="MENE3"/>
    </sheetNames>
    <sheetDataSet>
      <sheetData sheetId="0" refreshError="1"/>
      <sheetData sheetId="1" refreshError="1"/>
      <sheetData sheetId="2">
        <row r="1">
          <cell r="B1" t="str">
            <v>Metropolitano - '0</v>
          </cell>
          <cell r="C1" t="str">
            <v>Valdesia - I</v>
          </cell>
          <cell r="D1" t="str">
            <v>Norcentral - II</v>
          </cell>
          <cell r="E1" t="str">
            <v>Nordeste - III</v>
          </cell>
          <cell r="F1" t="str">
            <v>Enriquillo - IV</v>
          </cell>
          <cell r="G1" t="str">
            <v>Este - V</v>
          </cell>
          <cell r="H1" t="str">
            <v>El Valle - VI</v>
          </cell>
          <cell r="I1" t="str">
            <v>Cibao Occidental - VII</v>
          </cell>
          <cell r="J1" t="str">
            <v>Cibao Central - VIII</v>
          </cell>
          <cell r="K1" t="str">
            <v>Vacío</v>
          </cell>
        </row>
        <row r="2">
          <cell r="M2" t="str">
            <v>Vacío</v>
          </cell>
        </row>
        <row r="3">
          <cell r="M3" t="str">
            <v>enero  - marzo</v>
          </cell>
        </row>
        <row r="4">
          <cell r="M4" t="str">
            <v>abril - junio</v>
          </cell>
        </row>
        <row r="5">
          <cell r="M5" t="str">
            <v>julio - septiembre</v>
          </cell>
        </row>
        <row r="6">
          <cell r="M6" t="str">
            <v>octubre - Diciembre</v>
          </cell>
        </row>
      </sheetData>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B4:N231"/>
  <sheetViews>
    <sheetView showGridLines="0" view="pageBreakPreview" topLeftCell="A22" zoomScale="60" zoomScaleNormal="60" zoomScalePageLayoutView="70" workbookViewId="0">
      <selection activeCell="D52" sqref="D52"/>
    </sheetView>
  </sheetViews>
  <sheetFormatPr baseColWidth="10" defaultColWidth="11.42578125" defaultRowHeight="18" x14ac:dyDescent="0.25"/>
  <cols>
    <col min="1" max="1" width="10.7109375" style="1" customWidth="1"/>
    <col min="2" max="2" width="90.42578125" style="10" customWidth="1"/>
    <col min="3" max="3" width="28.140625" style="9" customWidth="1"/>
    <col min="4" max="4" width="5.42578125" style="8" customWidth="1"/>
    <col min="5" max="5" width="31" style="7" customWidth="1"/>
    <col min="6" max="6" width="4.85546875" style="7" customWidth="1"/>
    <col min="7" max="7" width="29.7109375" style="6" hidden="1" customWidth="1"/>
    <col min="8" max="8" width="13.7109375" style="5" hidden="1" customWidth="1"/>
    <col min="9" max="9" width="25.42578125" style="1" hidden="1" customWidth="1"/>
    <col min="10" max="10" width="10.85546875" style="1" customWidth="1"/>
    <col min="11" max="11" width="32.7109375" style="4" bestFit="1" customWidth="1"/>
    <col min="12" max="12" width="25.5703125" style="3" customWidth="1"/>
    <col min="13" max="13" width="36.28515625" style="2" customWidth="1"/>
    <col min="14" max="14" width="27.5703125" style="1" customWidth="1"/>
    <col min="15" max="16384" width="11.42578125" style="1"/>
  </cols>
  <sheetData>
    <row r="4" spans="2:13" x14ac:dyDescent="0.25">
      <c r="B4" s="706" t="s">
        <v>32</v>
      </c>
      <c r="C4" s="706"/>
      <c r="D4" s="706"/>
      <c r="E4" s="706"/>
      <c r="F4" s="126"/>
    </row>
    <row r="5" spans="2:13" x14ac:dyDescent="0.25">
      <c r="B5" s="706" t="s">
        <v>31</v>
      </c>
      <c r="C5" s="706"/>
      <c r="D5" s="706"/>
      <c r="E5" s="706"/>
      <c r="F5" s="126"/>
    </row>
    <row r="6" spans="2:13" s="110" customFormat="1" x14ac:dyDescent="0.25">
      <c r="B6" s="706" t="s">
        <v>30</v>
      </c>
      <c r="C6" s="706"/>
      <c r="D6" s="706"/>
      <c r="E6" s="706"/>
      <c r="F6" s="126"/>
      <c r="G6" s="117"/>
      <c r="H6" s="5"/>
      <c r="I6" s="1"/>
      <c r="J6" s="1"/>
      <c r="K6" s="125"/>
      <c r="L6" s="112"/>
      <c r="M6" s="111"/>
    </row>
    <row r="7" spans="2:13" s="110" customFormat="1" x14ac:dyDescent="0.25">
      <c r="B7" s="706" t="s">
        <v>29</v>
      </c>
      <c r="C7" s="706"/>
      <c r="D7" s="706"/>
      <c r="E7" s="706"/>
      <c r="F7" s="126"/>
      <c r="G7" s="117"/>
      <c r="H7" s="5"/>
      <c r="I7" s="1"/>
      <c r="J7" s="1"/>
      <c r="K7" s="125"/>
      <c r="L7" s="112"/>
      <c r="M7" s="111"/>
    </row>
    <row r="8" spans="2:13" s="110" customFormat="1" x14ac:dyDescent="0.25">
      <c r="B8" s="706" t="s">
        <v>684</v>
      </c>
      <c r="C8" s="706"/>
      <c r="D8" s="706"/>
      <c r="E8" s="706"/>
      <c r="F8" s="126"/>
      <c r="G8" s="117"/>
      <c r="H8" s="5"/>
      <c r="I8" s="1"/>
      <c r="J8" s="1"/>
      <c r="K8" s="125"/>
      <c r="L8" s="112"/>
      <c r="M8" s="111"/>
    </row>
    <row r="9" spans="2:13" s="110" customFormat="1" x14ac:dyDescent="0.25">
      <c r="B9" s="706" t="s">
        <v>28</v>
      </c>
      <c r="C9" s="706"/>
      <c r="D9" s="706"/>
      <c r="E9" s="706"/>
      <c r="F9" s="126"/>
      <c r="G9" s="117"/>
      <c r="H9" s="5"/>
      <c r="I9" s="1"/>
      <c r="J9" s="1"/>
      <c r="K9" s="125"/>
      <c r="L9" s="112"/>
      <c r="M9" s="111"/>
    </row>
    <row r="10" spans="2:13" s="110" customFormat="1" x14ac:dyDescent="0.25">
      <c r="B10" s="117"/>
      <c r="C10" s="124"/>
      <c r="D10" s="123"/>
      <c r="E10" s="122"/>
      <c r="F10" s="122"/>
      <c r="G10" s="117"/>
      <c r="H10" s="5"/>
      <c r="I10" s="1"/>
      <c r="J10" s="1"/>
      <c r="K10" s="125"/>
      <c r="L10" s="112"/>
      <c r="M10" s="111"/>
    </row>
    <row r="11" spans="2:13" s="110" customFormat="1" x14ac:dyDescent="0.25">
      <c r="B11" s="117"/>
      <c r="C11" s="124"/>
      <c r="D11" s="123"/>
      <c r="E11" s="122"/>
      <c r="F11" s="122"/>
      <c r="G11" s="117"/>
      <c r="H11" s="5"/>
      <c r="I11" s="1"/>
      <c r="J11" s="1"/>
      <c r="K11" s="125"/>
      <c r="L11" s="112"/>
      <c r="M11" s="111"/>
    </row>
    <row r="12" spans="2:13" s="110" customFormat="1" x14ac:dyDescent="0.25">
      <c r="B12" s="117"/>
      <c r="C12" s="124"/>
      <c r="D12" s="123"/>
      <c r="E12" s="122"/>
      <c r="F12" s="122"/>
      <c r="G12" s="117"/>
      <c r="H12" s="5"/>
      <c r="I12" s="1"/>
      <c r="J12" s="1"/>
      <c r="K12" s="116"/>
      <c r="L12" s="112"/>
      <c r="M12" s="111"/>
    </row>
    <row r="13" spans="2:13" s="110" customFormat="1" x14ac:dyDescent="0.25">
      <c r="B13" s="10"/>
      <c r="C13" s="9"/>
      <c r="D13" s="8"/>
      <c r="E13" s="7"/>
      <c r="F13" s="7"/>
      <c r="G13" s="117"/>
      <c r="H13" s="5"/>
      <c r="I13" s="1"/>
      <c r="J13" s="1"/>
      <c r="K13" s="116"/>
      <c r="L13" s="112"/>
      <c r="M13" s="111"/>
    </row>
    <row r="14" spans="2:13" s="110" customFormat="1" x14ac:dyDescent="0.25">
      <c r="B14" s="121"/>
      <c r="C14" s="120">
        <v>2022</v>
      </c>
      <c r="D14" s="119"/>
      <c r="E14" s="118">
        <v>2021</v>
      </c>
      <c r="F14" s="118"/>
      <c r="G14" s="117" t="s">
        <v>27</v>
      </c>
      <c r="H14" s="5"/>
      <c r="I14" s="1"/>
      <c r="J14" s="1"/>
      <c r="K14" s="116"/>
      <c r="L14" s="115"/>
      <c r="M14" s="111"/>
    </row>
    <row r="15" spans="2:13" s="110" customFormat="1" x14ac:dyDescent="0.25">
      <c r="B15" s="36" t="s">
        <v>26</v>
      </c>
      <c r="C15" s="109"/>
      <c r="D15" s="108"/>
      <c r="E15" s="107"/>
      <c r="F15" s="107"/>
      <c r="G15" s="6"/>
      <c r="H15" s="114"/>
      <c r="I15" s="1"/>
      <c r="J15" s="1"/>
      <c r="K15" s="113"/>
      <c r="L15" s="112"/>
      <c r="M15" s="111"/>
    </row>
    <row r="16" spans="2:13" x14ac:dyDescent="0.25">
      <c r="B16" s="100" t="s">
        <v>25</v>
      </c>
      <c r="C16" s="109"/>
      <c r="D16" s="108"/>
      <c r="E16" s="107"/>
      <c r="F16" s="107"/>
    </row>
    <row r="17" spans="2:14" x14ac:dyDescent="0.25">
      <c r="B17" s="103" t="s">
        <v>24</v>
      </c>
      <c r="C17" s="106">
        <v>15351429.351500003</v>
      </c>
      <c r="D17" s="80"/>
      <c r="E17" s="75">
        <v>24933552.674386606</v>
      </c>
      <c r="F17" s="75"/>
      <c r="G17" s="71">
        <f>+E17-C17</f>
        <v>9582123.322886603</v>
      </c>
      <c r="H17" s="5">
        <f>+C17/E17-1</f>
        <v>-0.38430637815725288</v>
      </c>
      <c r="I17" s="72" t="s">
        <v>23</v>
      </c>
      <c r="K17" s="62"/>
      <c r="L17" s="37"/>
      <c r="N17" s="53"/>
    </row>
    <row r="18" spans="2:14" x14ac:dyDescent="0.25">
      <c r="B18" s="70" t="s">
        <v>22</v>
      </c>
      <c r="C18" s="105">
        <v>204047092.27850959</v>
      </c>
      <c r="D18" s="80"/>
      <c r="E18" s="75">
        <v>193319060.00552458</v>
      </c>
      <c r="F18" s="75"/>
      <c r="G18" s="104">
        <f>+E18-C18</f>
        <v>-10728032.272985011</v>
      </c>
      <c r="H18" s="92">
        <f>+C18/E18-1</f>
        <v>5.5493919082155951E-2</v>
      </c>
      <c r="I18" s="72"/>
      <c r="K18" s="56"/>
      <c r="L18" s="37"/>
      <c r="N18" s="53"/>
    </row>
    <row r="19" spans="2:14" x14ac:dyDescent="0.25">
      <c r="B19" s="103" t="s">
        <v>21</v>
      </c>
      <c r="C19" s="102">
        <v>101542099.07029486</v>
      </c>
      <c r="D19" s="42"/>
      <c r="E19" s="47">
        <v>89223142.960463658</v>
      </c>
      <c r="F19" s="47"/>
      <c r="G19" s="71">
        <f>+E19-C19</f>
        <v>-12318956.109831199</v>
      </c>
      <c r="H19" s="101">
        <f>+C19/E19-1</f>
        <v>0.1380690670725413</v>
      </c>
      <c r="I19" s="72" t="s">
        <v>20</v>
      </c>
      <c r="J19" s="53"/>
      <c r="K19" s="62"/>
      <c r="L19" s="37"/>
      <c r="N19" s="53"/>
    </row>
    <row r="20" spans="2:14" x14ac:dyDescent="0.25">
      <c r="B20" s="100" t="s">
        <v>19</v>
      </c>
      <c r="C20" s="98">
        <f>SUM(C17:C19)</f>
        <v>320940620.70030445</v>
      </c>
      <c r="D20" s="99"/>
      <c r="E20" s="98">
        <f>SUM(E17:E19)</f>
        <v>307475755.64037484</v>
      </c>
      <c r="F20" s="97"/>
      <c r="G20" s="63">
        <f>SUM(G17:G19)</f>
        <v>-13464865.059929607</v>
      </c>
      <c r="H20" s="5">
        <f>+C20/E20-1</f>
        <v>4.3791631739831249E-2</v>
      </c>
      <c r="I20" s="72"/>
      <c r="K20" s="56"/>
      <c r="L20" s="96"/>
      <c r="N20" s="53"/>
    </row>
    <row r="21" spans="2:14" x14ac:dyDescent="0.25">
      <c r="B21" s="36"/>
      <c r="C21" s="95"/>
      <c r="D21" s="73"/>
      <c r="E21" s="50"/>
      <c r="F21" s="50"/>
    </row>
    <row r="22" spans="2:14" x14ac:dyDescent="0.25">
      <c r="B22" s="36" t="s">
        <v>18</v>
      </c>
      <c r="C22" s="95"/>
      <c r="D22" s="73"/>
      <c r="E22" s="50"/>
      <c r="F22" s="50"/>
    </row>
    <row r="23" spans="2:14" x14ac:dyDescent="0.25">
      <c r="B23" s="70" t="s">
        <v>17</v>
      </c>
      <c r="C23" s="75">
        <v>71842914.300197199</v>
      </c>
      <c r="D23" s="80"/>
      <c r="E23" s="75">
        <v>64743419.847382218</v>
      </c>
      <c r="F23" s="75"/>
      <c r="G23" s="71">
        <f>+E23-C23</f>
        <v>-7099494.4528149813</v>
      </c>
      <c r="H23" s="92">
        <f>+C23/E23-1</f>
        <v>0.10965584563729269</v>
      </c>
      <c r="I23" s="82">
        <f>+C23/E23-1</f>
        <v>0.10965584563729269</v>
      </c>
      <c r="K23" s="75"/>
      <c r="L23" s="91"/>
    </row>
    <row r="24" spans="2:14" x14ac:dyDescent="0.25">
      <c r="B24" s="94" t="s">
        <v>16</v>
      </c>
      <c r="C24" s="93">
        <v>1505389.410000002</v>
      </c>
      <c r="D24" s="80"/>
      <c r="E24" s="74">
        <v>1505389.4100000029</v>
      </c>
      <c r="F24" s="75"/>
      <c r="G24" s="71">
        <f>+E24-C24</f>
        <v>0</v>
      </c>
      <c r="H24" s="92">
        <f>+C24/E24-1</f>
        <v>0</v>
      </c>
      <c r="I24" s="72"/>
      <c r="K24" s="62"/>
      <c r="L24" s="91"/>
    </row>
    <row r="25" spans="2:14" x14ac:dyDescent="0.25">
      <c r="B25" s="36" t="s">
        <v>15</v>
      </c>
      <c r="C25" s="65">
        <f>+C23+C24</f>
        <v>73348303.710197195</v>
      </c>
      <c r="D25" s="60"/>
      <c r="E25" s="65">
        <f>SUM(E23:E24)</f>
        <v>66248809.257382222</v>
      </c>
      <c r="F25" s="64"/>
      <c r="G25" s="63">
        <f>SUM(G23:G24)</f>
        <v>-7099494.4528149813</v>
      </c>
      <c r="H25" s="5">
        <f>+C25/E25-1</f>
        <v>0.10716410653107489</v>
      </c>
      <c r="I25" s="72"/>
      <c r="L25" s="90"/>
      <c r="N25" s="89"/>
    </row>
    <row r="26" spans="2:14" x14ac:dyDescent="0.25">
      <c r="B26" s="36"/>
      <c r="C26" s="64"/>
      <c r="D26" s="60"/>
      <c r="E26" s="64"/>
      <c r="F26" s="64"/>
    </row>
    <row r="27" spans="2:14" ht="18.75" thickBot="1" x14ac:dyDescent="0.3">
      <c r="B27" s="36" t="s">
        <v>14</v>
      </c>
      <c r="C27" s="88">
        <v>394288924.41050166</v>
      </c>
      <c r="D27" s="60"/>
      <c r="E27" s="88">
        <f>+E25+E20</f>
        <v>373724564.89775705</v>
      </c>
      <c r="F27" s="60"/>
      <c r="G27" s="87">
        <f>+G25+G20</f>
        <v>-20564359.512744591</v>
      </c>
      <c r="H27" s="40">
        <f>+C27/E27-1</f>
        <v>5.5025442382602208E-2</v>
      </c>
      <c r="I27" s="86"/>
      <c r="J27" s="39"/>
      <c r="K27" s="85"/>
      <c r="L27" s="84"/>
      <c r="N27" s="53"/>
    </row>
    <row r="28" spans="2:14" x14ac:dyDescent="0.25">
      <c r="B28" s="705" t="s">
        <v>13</v>
      </c>
      <c r="C28" s="83"/>
      <c r="D28" s="42"/>
      <c r="E28" s="47"/>
      <c r="F28" s="47"/>
      <c r="I28" s="82"/>
    </row>
    <row r="29" spans="2:14" x14ac:dyDescent="0.25">
      <c r="B29" s="705"/>
      <c r="C29" s="81"/>
      <c r="D29" s="80"/>
      <c r="E29" s="75"/>
      <c r="F29" s="75"/>
      <c r="G29" s="20"/>
    </row>
    <row r="30" spans="2:14" x14ac:dyDescent="0.25">
      <c r="B30" s="70" t="s">
        <v>12</v>
      </c>
      <c r="C30" s="78">
        <v>102422854.99926604</v>
      </c>
      <c r="D30" s="48"/>
      <c r="E30" s="75">
        <v>196979843.08143491</v>
      </c>
      <c r="F30" s="75"/>
      <c r="G30" s="79">
        <f>+E30-C30</f>
        <v>94556988.082168862</v>
      </c>
      <c r="H30" s="5">
        <f>+C30/E30-1</f>
        <v>-0.48003382784236126</v>
      </c>
      <c r="I30" s="72"/>
      <c r="K30" s="62"/>
      <c r="L30" s="37"/>
      <c r="N30" s="53"/>
    </row>
    <row r="31" spans="2:14" x14ac:dyDescent="0.25">
      <c r="B31" s="70" t="s">
        <v>11</v>
      </c>
      <c r="C31" s="78">
        <v>50302783.991999999</v>
      </c>
      <c r="D31" s="48"/>
      <c r="E31" s="77">
        <v>32400359.195954565</v>
      </c>
      <c r="F31" s="77"/>
      <c r="G31" s="76">
        <f>+E31-C31</f>
        <v>-17902424.796045434</v>
      </c>
      <c r="H31" s="5">
        <f>+C31/E31-1</f>
        <v>0.55253784958904673</v>
      </c>
      <c r="I31" s="72"/>
      <c r="K31" s="62"/>
      <c r="L31" s="37"/>
      <c r="N31" s="53"/>
    </row>
    <row r="32" spans="2:14" x14ac:dyDescent="0.25">
      <c r="B32" s="70" t="s">
        <v>10</v>
      </c>
      <c r="C32" s="69">
        <v>4359800.25</v>
      </c>
      <c r="D32" s="48"/>
      <c r="E32" s="74">
        <v>4359800.25</v>
      </c>
      <c r="F32" s="75"/>
      <c r="G32" s="74">
        <f>+E32-C32</f>
        <v>0</v>
      </c>
      <c r="H32" s="5">
        <f>+C32/E32-1</f>
        <v>0</v>
      </c>
      <c r="I32" s="72"/>
      <c r="K32" s="62"/>
      <c r="L32" s="37"/>
      <c r="N32" s="53"/>
    </row>
    <row r="33" spans="2:14" x14ac:dyDescent="0.25">
      <c r="B33" s="36" t="s">
        <v>9</v>
      </c>
      <c r="C33" s="65">
        <f>SUM(C30:C32)</f>
        <v>157085439.24126604</v>
      </c>
      <c r="D33" s="73"/>
      <c r="E33" s="65">
        <f>SUM(E30:E32)</f>
        <v>233740002.52738947</v>
      </c>
      <c r="F33" s="64"/>
      <c r="G33" s="63">
        <f>SUM(G30:G32)</f>
        <v>76654563.286123425</v>
      </c>
      <c r="H33" s="5">
        <f>+C33/E33-1</f>
        <v>-0.32794798689685611</v>
      </c>
      <c r="I33" s="72"/>
      <c r="K33" s="62"/>
      <c r="L33" s="61"/>
      <c r="N33" s="53"/>
    </row>
    <row r="34" spans="2:14" x14ac:dyDescent="0.25">
      <c r="B34" s="36"/>
      <c r="C34" s="52"/>
      <c r="D34" s="51"/>
      <c r="E34" s="50"/>
      <c r="F34" s="50"/>
      <c r="K34" s="62"/>
    </row>
    <row r="35" spans="2:14" x14ac:dyDescent="0.25">
      <c r="B35" s="36" t="s">
        <v>8</v>
      </c>
      <c r="C35" s="49"/>
      <c r="D35" s="48"/>
      <c r="E35" s="47"/>
      <c r="F35" s="47"/>
      <c r="G35" s="71"/>
      <c r="K35" s="62"/>
    </row>
    <row r="36" spans="2:14" x14ac:dyDescent="0.25">
      <c r="B36" s="70" t="s">
        <v>7</v>
      </c>
      <c r="C36" s="69">
        <v>8466776.066022655</v>
      </c>
      <c r="D36" s="48"/>
      <c r="E36" s="68">
        <v>6131584.4350399869</v>
      </c>
      <c r="F36" s="67"/>
      <c r="G36" s="20">
        <f>+E36-C36</f>
        <v>-2335191.6309826681</v>
      </c>
      <c r="H36" s="5">
        <f>+C36/E36-1</f>
        <v>0.38084636291360785</v>
      </c>
      <c r="K36" s="62"/>
      <c r="L36" s="66"/>
      <c r="N36" s="53"/>
    </row>
    <row r="37" spans="2:14" x14ac:dyDescent="0.25">
      <c r="B37" s="36" t="s">
        <v>6</v>
      </c>
      <c r="C37" s="65">
        <v>8466776.066022655</v>
      </c>
      <c r="D37" s="60"/>
      <c r="E37" s="65">
        <f>SUM(E36)</f>
        <v>6131584.4350399869</v>
      </c>
      <c r="F37" s="64"/>
      <c r="G37" s="63">
        <f>SUM(G36)</f>
        <v>-2335191.6309826681</v>
      </c>
      <c r="H37" s="5">
        <f>+C37/E37-1</f>
        <v>0.38084636291360785</v>
      </c>
      <c r="K37" s="62"/>
      <c r="L37" s="61"/>
    </row>
    <row r="38" spans="2:14" x14ac:dyDescent="0.25">
      <c r="B38" s="36"/>
      <c r="C38" s="33"/>
      <c r="D38" s="51"/>
      <c r="E38" s="50"/>
      <c r="F38" s="50"/>
    </row>
    <row r="39" spans="2:14" ht="18.75" thickBot="1" x14ac:dyDescent="0.3">
      <c r="B39" s="36" t="s">
        <v>5</v>
      </c>
      <c r="C39" s="59">
        <f>+C33+C37</f>
        <v>165552215.30728871</v>
      </c>
      <c r="D39" s="60"/>
      <c r="E39" s="59">
        <f>+E33+E37</f>
        <v>239871586.96242946</v>
      </c>
      <c r="F39" s="58"/>
      <c r="G39" s="57">
        <f>+G33+G37</f>
        <v>74319371.655140758</v>
      </c>
      <c r="H39" s="5">
        <f>+C39/E39-1</f>
        <v>-0.30982982435006456</v>
      </c>
      <c r="K39" s="56"/>
      <c r="L39" s="55"/>
      <c r="M39" s="54"/>
      <c r="N39" s="53"/>
    </row>
    <row r="40" spans="2:14" x14ac:dyDescent="0.25">
      <c r="B40" s="36"/>
      <c r="C40" s="52"/>
      <c r="D40" s="51"/>
      <c r="E40" s="50"/>
      <c r="F40" s="50"/>
    </row>
    <row r="41" spans="2:14" x14ac:dyDescent="0.25">
      <c r="B41" s="36" t="s">
        <v>4</v>
      </c>
      <c r="C41" s="49"/>
      <c r="D41" s="48"/>
      <c r="E41" s="47"/>
      <c r="F41" s="47"/>
      <c r="G41" s="20"/>
      <c r="K41" s="46"/>
    </row>
    <row r="42" spans="2:14" ht="36" x14ac:dyDescent="0.25">
      <c r="B42" s="44" t="s">
        <v>3</v>
      </c>
      <c r="C42" s="43">
        <v>94883730.690576643</v>
      </c>
      <c r="D42" s="42"/>
      <c r="E42" s="43">
        <v>20427222.019090004</v>
      </c>
      <c r="F42" s="42"/>
      <c r="G42" s="41">
        <f>+C42-E42</f>
        <v>74456508.671486646</v>
      </c>
      <c r="H42" s="40">
        <f>+C42/E42-1</f>
        <v>3.6449649688980834</v>
      </c>
      <c r="I42" s="39"/>
      <c r="J42" s="39"/>
      <c r="K42" s="45"/>
      <c r="L42" s="37"/>
    </row>
    <row r="43" spans="2:14" x14ac:dyDescent="0.25">
      <c r="B43" s="44" t="s">
        <v>2</v>
      </c>
      <c r="C43" s="43">
        <v>133852978.41680822</v>
      </c>
      <c r="D43" s="42"/>
      <c r="E43" s="43">
        <v>113425756.39771822</v>
      </c>
      <c r="F43" s="42"/>
      <c r="G43" s="41">
        <f>+C43-E43</f>
        <v>20427222.019089997</v>
      </c>
      <c r="H43" s="40">
        <f>+C43/E43-1</f>
        <v>0.18009332860398652</v>
      </c>
      <c r="I43" s="39"/>
      <c r="J43" s="39"/>
      <c r="K43" s="38"/>
      <c r="L43" s="37"/>
    </row>
    <row r="44" spans="2:14" x14ac:dyDescent="0.25">
      <c r="B44" s="36" t="s">
        <v>1</v>
      </c>
      <c r="C44" s="34">
        <f>+C42+C43</f>
        <v>228736709.10738486</v>
      </c>
      <c r="D44" s="35"/>
      <c r="E44" s="34">
        <f>SUM(E42:E43)</f>
        <v>133852978.41680822</v>
      </c>
      <c r="F44" s="33"/>
      <c r="G44" s="32">
        <f>+C44-E44</f>
        <v>94883730.690576643</v>
      </c>
      <c r="K44" s="31">
        <v>0</v>
      </c>
      <c r="L44" s="30"/>
    </row>
    <row r="45" spans="2:14" ht="18.75" thickBot="1" x14ac:dyDescent="0.3">
      <c r="B45" s="29" t="s">
        <v>0</v>
      </c>
      <c r="C45" s="28">
        <f>+C39+C44</f>
        <v>394288924.41467357</v>
      </c>
      <c r="D45" s="27"/>
      <c r="E45" s="26">
        <f>+E39+E44</f>
        <v>373724565.37923765</v>
      </c>
      <c r="F45" s="25"/>
      <c r="G45" s="24">
        <f>+C45-E45</f>
        <v>20564359.035435915</v>
      </c>
      <c r="L45" s="23"/>
    </row>
    <row r="46" spans="2:14" ht="18.75" thickTop="1" x14ac:dyDescent="0.25">
      <c r="C46" s="22"/>
      <c r="D46" s="21"/>
      <c r="E46" s="17"/>
      <c r="F46" s="17"/>
      <c r="G46" s="20"/>
    </row>
    <row r="47" spans="2:14" x14ac:dyDescent="0.25">
      <c r="C47" s="19"/>
      <c r="D47" s="18"/>
      <c r="E47" s="17"/>
      <c r="F47" s="17"/>
    </row>
    <row r="48" spans="2:14" x14ac:dyDescent="0.25">
      <c r="C48" s="14"/>
      <c r="D48" s="13"/>
    </row>
    <row r="49" spans="3:4" x14ac:dyDescent="0.25">
      <c r="C49" s="16"/>
      <c r="D49" s="15"/>
    </row>
    <row r="50" spans="3:4" x14ac:dyDescent="0.25">
      <c r="C50" s="14"/>
      <c r="D50" s="13"/>
    </row>
    <row r="51" spans="3:4" x14ac:dyDescent="0.25">
      <c r="C51" s="14"/>
      <c r="D51" s="13"/>
    </row>
    <row r="52" spans="3:4" x14ac:dyDescent="0.25">
      <c r="C52" s="14"/>
      <c r="D52" s="13"/>
    </row>
    <row r="53" spans="3:4" x14ac:dyDescent="0.25">
      <c r="C53" s="14"/>
      <c r="D53" s="13"/>
    </row>
    <row r="54" spans="3:4" x14ac:dyDescent="0.25">
      <c r="C54" s="14"/>
      <c r="D54" s="13"/>
    </row>
    <row r="55" spans="3:4" x14ac:dyDescent="0.25">
      <c r="C55" s="14"/>
      <c r="D55" s="13"/>
    </row>
    <row r="56" spans="3:4" x14ac:dyDescent="0.25">
      <c r="C56" s="14"/>
      <c r="D56" s="13"/>
    </row>
    <row r="57" spans="3:4" x14ac:dyDescent="0.25">
      <c r="C57" s="14"/>
      <c r="D57" s="13"/>
    </row>
    <row r="58" spans="3:4" x14ac:dyDescent="0.25">
      <c r="C58" s="14"/>
      <c r="D58" s="13"/>
    </row>
    <row r="59" spans="3:4" x14ac:dyDescent="0.25">
      <c r="C59" s="14"/>
      <c r="D59" s="13"/>
    </row>
    <row r="60" spans="3:4" x14ac:dyDescent="0.25">
      <c r="C60" s="14"/>
      <c r="D60" s="13"/>
    </row>
    <row r="61" spans="3:4" x14ac:dyDescent="0.25">
      <c r="C61" s="12"/>
      <c r="D61" s="11"/>
    </row>
    <row r="62" spans="3:4" x14ac:dyDescent="0.25">
      <c r="C62" s="12"/>
      <c r="D62" s="11"/>
    </row>
    <row r="231" spans="7:7" x14ac:dyDescent="0.25">
      <c r="G231" s="6">
        <f>+G227-G225</f>
        <v>0</v>
      </c>
    </row>
  </sheetData>
  <mergeCells count="7">
    <mergeCell ref="B28:B29"/>
    <mergeCell ref="B4:E4"/>
    <mergeCell ref="B5:E5"/>
    <mergeCell ref="B6:E6"/>
    <mergeCell ref="B7:E7"/>
    <mergeCell ref="B8:E8"/>
    <mergeCell ref="B9:E9"/>
  </mergeCells>
  <pageMargins left="0.70866141732283472" right="0.70866141732283472" top="0.74803149606299213" bottom="0.74803149606299213" header="0.31496062992125984" footer="0.31496062992125984"/>
  <pageSetup paperSize="9" scale="48" orientation="portrait" errors="NA"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6FFFF"/>
    <pageSetUpPr fitToPage="1"/>
  </sheetPr>
  <dimension ref="B10:S47"/>
  <sheetViews>
    <sheetView showGridLines="0" view="pageBreakPreview" topLeftCell="A7" zoomScale="55" zoomScaleNormal="50" zoomScaleSheetLayoutView="55" workbookViewId="0">
      <selection activeCell="B19" sqref="B19"/>
    </sheetView>
  </sheetViews>
  <sheetFormatPr baseColWidth="10" defaultColWidth="11.42578125" defaultRowHeight="22.5" x14ac:dyDescent="0.3"/>
  <cols>
    <col min="1" max="1" width="1.85546875" style="129" customWidth="1"/>
    <col min="2" max="2" width="108.7109375" style="129" customWidth="1"/>
    <col min="3" max="3" width="42.85546875" style="150" customWidth="1"/>
    <col min="4" max="4" width="10.7109375" style="193" customWidth="1"/>
    <col min="5" max="5" width="38.28515625" style="194" customWidth="1"/>
    <col min="6" max="7" width="33.85546875" style="129" hidden="1" customWidth="1"/>
    <col min="8" max="8" width="24.42578125" style="129" hidden="1" customWidth="1"/>
    <col min="9" max="9" width="9.5703125" style="129" hidden="1" customWidth="1"/>
    <col min="10" max="10" width="11.5703125" style="129" hidden="1" customWidth="1"/>
    <col min="11" max="11" width="20.5703125" style="129" hidden="1" customWidth="1"/>
    <col min="12" max="12" width="13.42578125" style="129" hidden="1" customWidth="1"/>
    <col min="13" max="13" width="36.5703125" style="129" hidden="1" customWidth="1"/>
    <col min="14" max="14" width="14.7109375" style="129" hidden="1" customWidth="1"/>
    <col min="15" max="15" width="29.28515625" style="129" bestFit="1" customWidth="1"/>
    <col min="16" max="16" width="30.85546875" style="129" bestFit="1" customWidth="1"/>
    <col min="17" max="17" width="35.28515625" style="129" customWidth="1"/>
    <col min="18" max="18" width="28.7109375" style="129" bestFit="1" customWidth="1"/>
    <col min="19" max="19" width="31.85546875" style="129" bestFit="1" customWidth="1"/>
    <col min="20" max="16384" width="11.42578125" style="129"/>
  </cols>
  <sheetData>
    <row r="10" spans="2:10" s="128" customFormat="1" x14ac:dyDescent="0.3">
      <c r="B10" s="707" t="s">
        <v>32</v>
      </c>
      <c r="C10" s="707"/>
      <c r="D10" s="707"/>
      <c r="E10" s="707"/>
      <c r="F10" s="707"/>
      <c r="G10" s="707"/>
      <c r="H10" s="707"/>
      <c r="I10" s="127"/>
      <c r="J10" s="127"/>
    </row>
    <row r="11" spans="2:10" s="128" customFormat="1" x14ac:dyDescent="0.3">
      <c r="B11" s="707" t="s">
        <v>31</v>
      </c>
      <c r="C11" s="707"/>
      <c r="D11" s="707"/>
      <c r="E11" s="707"/>
      <c r="F11" s="707"/>
      <c r="G11" s="707"/>
      <c r="H11" s="707"/>
      <c r="I11" s="127"/>
      <c r="J11" s="127"/>
    </row>
    <row r="12" spans="2:10" s="128" customFormat="1" x14ac:dyDescent="0.3">
      <c r="B12" s="707" t="s">
        <v>30</v>
      </c>
      <c r="C12" s="707"/>
      <c r="D12" s="707"/>
      <c r="E12" s="707"/>
      <c r="F12" s="707"/>
      <c r="G12" s="707"/>
      <c r="H12" s="707"/>
      <c r="I12" s="127"/>
      <c r="J12" s="127"/>
    </row>
    <row r="13" spans="2:10" s="128" customFormat="1" x14ac:dyDescent="0.3">
      <c r="B13" s="707" t="s">
        <v>33</v>
      </c>
      <c r="C13" s="707"/>
      <c r="D13" s="707"/>
      <c r="E13" s="707"/>
      <c r="F13" s="707"/>
      <c r="G13" s="707"/>
      <c r="H13" s="707"/>
      <c r="I13" s="127"/>
      <c r="J13" s="127"/>
    </row>
    <row r="14" spans="2:10" s="128" customFormat="1" x14ac:dyDescent="0.3">
      <c r="B14" s="707" t="str">
        <f>+'1.Estado de Situación Comparat'!B8:E8</f>
        <v>AL 31 DICIEMBRE 2022</v>
      </c>
      <c r="C14" s="707"/>
      <c r="D14" s="707"/>
      <c r="E14" s="707"/>
      <c r="F14" s="707"/>
      <c r="G14" s="707"/>
      <c r="H14" s="707"/>
      <c r="I14" s="127"/>
      <c r="J14" s="127"/>
    </row>
    <row r="15" spans="2:10" s="128" customFormat="1" x14ac:dyDescent="0.3">
      <c r="B15" s="707" t="s">
        <v>28</v>
      </c>
      <c r="C15" s="707"/>
      <c r="D15" s="707"/>
      <c r="E15" s="707"/>
      <c r="F15" s="707"/>
      <c r="G15" s="707"/>
      <c r="H15" s="707"/>
      <c r="I15" s="127"/>
      <c r="J15" s="127"/>
    </row>
    <row r="16" spans="2:10" s="128" customFormat="1" x14ac:dyDescent="0.3">
      <c r="B16" s="129"/>
      <c r="C16" s="130"/>
      <c r="D16" s="131"/>
      <c r="E16" s="132"/>
      <c r="H16" s="133"/>
    </row>
    <row r="17" spans="2:19" s="128" customFormat="1" x14ac:dyDescent="0.3">
      <c r="B17" s="129"/>
      <c r="C17" s="134"/>
      <c r="D17" s="135"/>
      <c r="E17" s="132"/>
    </row>
    <row r="18" spans="2:19" s="128" customFormat="1" x14ac:dyDescent="0.3">
      <c r="B18" s="129"/>
      <c r="D18" s="136"/>
      <c r="E18" s="132"/>
    </row>
    <row r="19" spans="2:19" s="128" customFormat="1" x14ac:dyDescent="0.3">
      <c r="B19" s="129"/>
      <c r="C19" s="130"/>
      <c r="D19" s="131"/>
      <c r="E19" s="132"/>
    </row>
    <row r="20" spans="2:19" x14ac:dyDescent="0.3">
      <c r="C20" s="137">
        <f>+'1.Estado de Situación Comparat'!C14</f>
        <v>2022</v>
      </c>
      <c r="D20" s="138"/>
      <c r="E20" s="137">
        <f>+'1.Estado de Situación Comparat'!E14</f>
        <v>2021</v>
      </c>
      <c r="F20" s="139" t="s">
        <v>34</v>
      </c>
      <c r="G20" s="137" t="s">
        <v>34</v>
      </c>
      <c r="H20" s="128"/>
    </row>
    <row r="21" spans="2:19" x14ac:dyDescent="0.3">
      <c r="B21" s="140" t="s">
        <v>35</v>
      </c>
      <c r="C21" s="141"/>
      <c r="D21" s="142"/>
      <c r="E21" s="141"/>
      <c r="G21" s="143"/>
      <c r="H21" s="128"/>
    </row>
    <row r="22" spans="2:19" x14ac:dyDescent="0.3">
      <c r="B22" s="144" t="s">
        <v>36</v>
      </c>
      <c r="C22" s="145">
        <v>818356346.10862017</v>
      </c>
      <c r="D22" s="146"/>
      <c r="E22" s="145">
        <v>753759462.8162204</v>
      </c>
      <c r="F22" s="147">
        <f>+C22-E22</f>
        <v>64596883.292399764</v>
      </c>
      <c r="G22" s="147">
        <f>+C22-E22</f>
        <v>64596883.292399764</v>
      </c>
      <c r="H22" s="148">
        <f>+C22/E22-1</f>
        <v>8.5699598451541625E-2</v>
      </c>
      <c r="I22" s="149"/>
      <c r="K22" s="149">
        <v>0</v>
      </c>
      <c r="M22" s="150">
        <v>621708891.48000002</v>
      </c>
      <c r="N22" s="151">
        <f>+(100/C22)*M22</f>
        <v>75.970436892962127</v>
      </c>
      <c r="O22" s="149">
        <v>0</v>
      </c>
      <c r="R22" s="149"/>
    </row>
    <row r="23" spans="2:19" x14ac:dyDescent="0.3">
      <c r="B23" s="144" t="s">
        <v>37</v>
      </c>
      <c r="C23" s="152">
        <v>449397544.88200015</v>
      </c>
      <c r="D23" s="153"/>
      <c r="E23" s="145">
        <v>369514867.93000007</v>
      </c>
      <c r="F23" s="147">
        <f>+C23-E23</f>
        <v>79882676.952000082</v>
      </c>
      <c r="G23" s="147">
        <f>+C23-E23</f>
        <v>79882676.952000082</v>
      </c>
      <c r="H23" s="148">
        <f>+C23/E23-1</f>
        <v>0.21618257852383049</v>
      </c>
      <c r="I23" s="149"/>
      <c r="K23" s="149">
        <v>0</v>
      </c>
    </row>
    <row r="24" spans="2:19" x14ac:dyDescent="0.3">
      <c r="B24" s="144" t="s">
        <v>38</v>
      </c>
      <c r="C24" s="154">
        <v>7004535.6922769677</v>
      </c>
      <c r="D24" s="153"/>
      <c r="E24" s="155">
        <v>6080493.0807937337</v>
      </c>
      <c r="F24" s="147">
        <f>+C24-E24</f>
        <v>924042.61148323398</v>
      </c>
      <c r="G24" s="156">
        <f>+C24-E24</f>
        <v>924042.61148323398</v>
      </c>
      <c r="H24" s="148">
        <f>+C24/E24-1</f>
        <v>0.1519683682236197</v>
      </c>
      <c r="I24" s="149"/>
      <c r="K24" s="149">
        <v>0</v>
      </c>
      <c r="P24" s="149"/>
    </row>
    <row r="25" spans="2:19" x14ac:dyDescent="0.3">
      <c r="B25" s="140" t="s">
        <v>39</v>
      </c>
      <c r="C25" s="157">
        <f>SUM(C22:C24)</f>
        <v>1274758426.6828973</v>
      </c>
      <c r="D25" s="158"/>
      <c r="E25" s="159">
        <f>SUM(E22:E24)</f>
        <v>1129354823.8270142</v>
      </c>
      <c r="F25" s="160">
        <f>+C25-E25</f>
        <v>145403602.85588312</v>
      </c>
      <c r="G25" s="161">
        <f>SUM(G22:G24)</f>
        <v>145403602.85588309</v>
      </c>
      <c r="H25" s="148">
        <f>+C25/E25-1</f>
        <v>0.1287492644368029</v>
      </c>
      <c r="I25" s="149"/>
      <c r="L25" s="162"/>
      <c r="M25" s="163"/>
    </row>
    <row r="26" spans="2:19" x14ac:dyDescent="0.3">
      <c r="B26" s="164"/>
      <c r="C26" s="165"/>
      <c r="D26" s="165"/>
      <c r="E26" s="166"/>
      <c r="G26" s="167"/>
      <c r="H26" s="128"/>
      <c r="I26" s="149"/>
    </row>
    <row r="27" spans="2:19" x14ac:dyDescent="0.3">
      <c r="B27" s="168" t="s">
        <v>40</v>
      </c>
      <c r="C27" s="169"/>
      <c r="D27" s="166"/>
      <c r="E27" s="169"/>
      <c r="G27" s="170"/>
      <c r="H27" s="128"/>
      <c r="I27" s="149"/>
    </row>
    <row r="28" spans="2:19" x14ac:dyDescent="0.3">
      <c r="B28" s="171" t="s">
        <v>41</v>
      </c>
      <c r="C28" s="145">
        <v>680099555.46476543</v>
      </c>
      <c r="D28" s="146"/>
      <c r="E28" s="145">
        <v>605146149.49375129</v>
      </c>
      <c r="F28" s="147">
        <f t="shared" ref="F28:F34" si="0">+C28-E28</f>
        <v>74953405.971014142</v>
      </c>
      <c r="G28" s="147">
        <f t="shared" ref="G28:G33" si="1">+C28-E28</f>
        <v>74953405.971014142</v>
      </c>
      <c r="H28" s="172">
        <f t="shared" ref="H28:H33" si="2">+C28/E28-1</f>
        <v>0.12386000643599582</v>
      </c>
      <c r="I28" s="162"/>
      <c r="J28" s="162">
        <f>+E28/E25</f>
        <v>0.53583350132875762</v>
      </c>
      <c r="K28" s="149">
        <v>0</v>
      </c>
      <c r="L28" s="149"/>
    </row>
    <row r="29" spans="2:19" x14ac:dyDescent="0.3">
      <c r="B29" s="171" t="s">
        <v>42</v>
      </c>
      <c r="C29" s="145">
        <v>0</v>
      </c>
      <c r="D29" s="146"/>
      <c r="E29" s="145">
        <v>214329.49799999999</v>
      </c>
      <c r="F29" s="147">
        <f t="shared" si="0"/>
        <v>-214329.49799999999</v>
      </c>
      <c r="G29" s="147">
        <f t="shared" si="1"/>
        <v>-214329.49799999999</v>
      </c>
      <c r="H29" s="148">
        <f t="shared" si="2"/>
        <v>-1</v>
      </c>
      <c r="I29" s="149"/>
      <c r="K29" s="149">
        <v>0</v>
      </c>
      <c r="Q29" s="150"/>
    </row>
    <row r="30" spans="2:19" x14ac:dyDescent="0.3">
      <c r="B30" s="171" t="s">
        <v>43</v>
      </c>
      <c r="C30" s="145">
        <v>427400445.04780728</v>
      </c>
      <c r="D30" s="153"/>
      <c r="E30" s="145">
        <v>415199369.15018547</v>
      </c>
      <c r="F30" s="147">
        <f t="shared" si="0"/>
        <v>12201075.89762181</v>
      </c>
      <c r="G30" s="147">
        <f t="shared" si="1"/>
        <v>12201075.89762181</v>
      </c>
      <c r="H30" s="172">
        <f t="shared" si="2"/>
        <v>2.9386065596858968E-2</v>
      </c>
      <c r="I30" s="173" t="s">
        <v>44</v>
      </c>
      <c r="K30" s="149">
        <v>0</v>
      </c>
      <c r="Q30" s="150"/>
    </row>
    <row r="31" spans="2:19" x14ac:dyDescent="0.3">
      <c r="B31" s="171" t="s">
        <v>45</v>
      </c>
      <c r="C31" s="145">
        <v>17176294.021163873</v>
      </c>
      <c r="D31" s="146"/>
      <c r="E31" s="145">
        <v>16305502.742031943</v>
      </c>
      <c r="F31" s="147">
        <f t="shared" si="0"/>
        <v>870791.27913193032</v>
      </c>
      <c r="G31" s="147">
        <f t="shared" si="1"/>
        <v>870791.27913193032</v>
      </c>
      <c r="H31" s="172">
        <f t="shared" si="2"/>
        <v>5.3404748869669838E-2</v>
      </c>
      <c r="I31" s="173" t="s">
        <v>44</v>
      </c>
      <c r="K31" s="149">
        <v>0</v>
      </c>
      <c r="S31" s="149"/>
    </row>
    <row r="32" spans="2:19" x14ac:dyDescent="0.3">
      <c r="B32" s="171" t="s">
        <v>46</v>
      </c>
      <c r="C32" s="145">
        <v>54519454.638583899</v>
      </c>
      <c r="D32" s="146"/>
      <c r="E32" s="145">
        <v>71401138.61204043</v>
      </c>
      <c r="F32" s="147">
        <f t="shared" si="0"/>
        <v>-16881683.973456532</v>
      </c>
      <c r="G32" s="147">
        <f t="shared" si="1"/>
        <v>-16881683.973456532</v>
      </c>
      <c r="H32" s="148">
        <f t="shared" si="2"/>
        <v>-0.23643438048213083</v>
      </c>
      <c r="I32" s="149"/>
      <c r="K32" s="149">
        <v>0</v>
      </c>
      <c r="O32" s="149">
        <v>0</v>
      </c>
      <c r="S32" s="149"/>
    </row>
    <row r="33" spans="2:19" x14ac:dyDescent="0.3">
      <c r="B33" s="171" t="s">
        <v>47</v>
      </c>
      <c r="C33" s="155">
        <v>551847.16999999981</v>
      </c>
      <c r="D33" s="146"/>
      <c r="E33" s="155">
        <v>611968.36</v>
      </c>
      <c r="F33" s="147">
        <f t="shared" si="0"/>
        <v>-60121.190000000177</v>
      </c>
      <c r="G33" s="156">
        <f t="shared" si="1"/>
        <v>-60121.190000000177</v>
      </c>
      <c r="H33" s="174">
        <f t="shared" si="2"/>
        <v>-9.8242317625702347E-2</v>
      </c>
      <c r="I33" s="149"/>
      <c r="K33" s="150">
        <v>0</v>
      </c>
    </row>
    <row r="34" spans="2:19" x14ac:dyDescent="0.3">
      <c r="B34" s="175" t="s">
        <v>48</v>
      </c>
      <c r="C34" s="157">
        <f>SUM(C28:C33)</f>
        <v>1179747596.3423207</v>
      </c>
      <c r="D34" s="176"/>
      <c r="E34" s="159">
        <f>SUM(E28:E33)</f>
        <v>1108878457.856009</v>
      </c>
      <c r="F34" s="160">
        <f t="shared" si="0"/>
        <v>70869138.486311674</v>
      </c>
      <c r="G34" s="161">
        <f>+C34-E34</f>
        <v>70869138.486311674</v>
      </c>
      <c r="H34" s="177">
        <f>+C34/E34-1</f>
        <v>6.3910645918160869E-2</v>
      </c>
      <c r="I34" s="149"/>
      <c r="L34" s="162"/>
      <c r="O34" s="149"/>
    </row>
    <row r="35" spans="2:19" x14ac:dyDescent="0.3">
      <c r="B35" s="178"/>
      <c r="C35" s="166"/>
      <c r="D35" s="166"/>
      <c r="E35" s="166"/>
      <c r="F35" s="179"/>
      <c r="G35" s="167"/>
      <c r="H35" s="180"/>
      <c r="I35" s="149"/>
    </row>
    <row r="36" spans="2:19" x14ac:dyDescent="0.3">
      <c r="B36" s="178" t="s">
        <v>49</v>
      </c>
      <c r="C36" s="145">
        <v>127099.65</v>
      </c>
      <c r="D36" s="146"/>
      <c r="E36" s="166">
        <v>49143.606861999826</v>
      </c>
      <c r="F36" s="179"/>
      <c r="G36" s="167">
        <f>+C36-E36</f>
        <v>77956.043138000168</v>
      </c>
      <c r="H36" s="148">
        <f>+C36/E36-1</f>
        <v>1.5862906309849936</v>
      </c>
      <c r="I36" s="149"/>
      <c r="K36" s="149">
        <v>0</v>
      </c>
    </row>
    <row r="37" spans="2:19" x14ac:dyDescent="0.3">
      <c r="B37" s="181"/>
      <c r="C37" s="166">
        <v>0</v>
      </c>
      <c r="D37" s="166"/>
      <c r="E37" s="166"/>
      <c r="G37" s="167"/>
      <c r="H37" s="180"/>
      <c r="I37" s="149"/>
      <c r="S37" s="149"/>
    </row>
    <row r="38" spans="2:19" ht="23.25" thickBot="1" x14ac:dyDescent="0.35">
      <c r="B38" s="182" t="s">
        <v>50</v>
      </c>
      <c r="C38" s="183">
        <f>+C25-C34-C36</f>
        <v>94883730.690576643</v>
      </c>
      <c r="D38" s="176"/>
      <c r="E38" s="184">
        <f>+E25-E34-E36</f>
        <v>20427222.3641432</v>
      </c>
      <c r="F38" s="185">
        <f>+F25-F34</f>
        <v>74534464.369571447</v>
      </c>
      <c r="G38" s="185">
        <f>+G25-G34+G36</f>
        <v>74612420.412709415</v>
      </c>
      <c r="H38" s="186">
        <f>+C38/E38-1</f>
        <v>3.6449648904361185</v>
      </c>
      <c r="I38" s="149"/>
    </row>
    <row r="39" spans="2:19" x14ac:dyDescent="0.3">
      <c r="B39" s="182"/>
      <c r="C39" s="158"/>
      <c r="D39" s="176"/>
      <c r="E39" s="176"/>
      <c r="F39" s="161"/>
      <c r="G39" s="161"/>
      <c r="H39" s="187"/>
      <c r="I39" s="149"/>
    </row>
    <row r="40" spans="2:19" x14ac:dyDescent="0.3">
      <c r="B40" s="182"/>
      <c r="C40" s="158"/>
      <c r="D40" s="176"/>
      <c r="E40" s="176"/>
      <c r="F40" s="161"/>
      <c r="G40" s="161"/>
      <c r="H40" s="187"/>
      <c r="I40" s="149"/>
    </row>
    <row r="41" spans="2:19" x14ac:dyDescent="0.3">
      <c r="B41" s="188" t="s">
        <v>51</v>
      </c>
      <c r="C41" s="189"/>
      <c r="D41" s="190"/>
      <c r="E41" s="189"/>
      <c r="I41" s="149"/>
      <c r="M41" s="162"/>
    </row>
    <row r="42" spans="2:19" x14ac:dyDescent="0.3">
      <c r="B42" s="191" t="s">
        <v>52</v>
      </c>
      <c r="C42" s="189"/>
      <c r="D42" s="190"/>
      <c r="E42" s="189"/>
    </row>
    <row r="43" spans="2:19" x14ac:dyDescent="0.3">
      <c r="B43" s="192"/>
      <c r="C43" s="189"/>
      <c r="D43" s="190"/>
      <c r="E43" s="189"/>
      <c r="F43" s="149">
        <f>+E34+312109</f>
        <v>1109190566.856009</v>
      </c>
    </row>
    <row r="44" spans="2:19" x14ac:dyDescent="0.3">
      <c r="B44" s="151"/>
      <c r="E44" s="150"/>
    </row>
    <row r="45" spans="2:19" x14ac:dyDescent="0.3">
      <c r="B45" s="151"/>
      <c r="E45" s="189"/>
    </row>
    <row r="46" spans="2:19" x14ac:dyDescent="0.3">
      <c r="E46" s="189"/>
    </row>
    <row r="47" spans="2:19" x14ac:dyDescent="0.3">
      <c r="E47" s="189"/>
    </row>
  </sheetData>
  <mergeCells count="6">
    <mergeCell ref="B15:H15"/>
    <mergeCell ref="B10:H10"/>
    <mergeCell ref="B11:H11"/>
    <mergeCell ref="B12:H12"/>
    <mergeCell ref="B13:H13"/>
    <mergeCell ref="B14:H14"/>
  </mergeCells>
  <pageMargins left="0.25" right="0.25" top="0.44" bottom="0.75" header="0.3" footer="0.3"/>
  <pageSetup paperSize="9" scale="4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4:O83"/>
  <sheetViews>
    <sheetView showGridLines="0" view="pageBreakPreview" topLeftCell="B1" zoomScale="60" zoomScaleNormal="60" workbookViewId="0">
      <selection activeCell="V47" sqref="V47"/>
    </sheetView>
  </sheetViews>
  <sheetFormatPr baseColWidth="10" defaultColWidth="11.5703125" defaultRowHeight="18.75" x14ac:dyDescent="0.3"/>
  <cols>
    <col min="1" max="1" width="4.140625" style="207" hidden="1" customWidth="1"/>
    <col min="2" max="2" width="61" style="207" customWidth="1"/>
    <col min="3" max="3" width="27.28515625" style="207" hidden="1" customWidth="1"/>
    <col min="4" max="4" width="1.42578125" style="245" hidden="1" customWidth="1"/>
    <col min="5" max="5" width="27.140625" style="207" hidden="1" customWidth="1"/>
    <col min="6" max="6" width="1.7109375" style="245" hidden="1" customWidth="1"/>
    <col min="7" max="7" width="23.85546875" style="207" hidden="1" customWidth="1"/>
    <col min="8" max="8" width="4" style="245" customWidth="1"/>
    <col min="9" max="9" width="31.5703125" style="251" customWidth="1"/>
    <col min="10" max="10" width="2.42578125" style="207" customWidth="1"/>
    <col min="11" max="11" width="26.7109375" style="250" customWidth="1"/>
    <col min="12" max="12" width="11.5703125" style="207"/>
    <col min="13" max="13" width="14.140625" style="207" bestFit="1" customWidth="1"/>
    <col min="14" max="16384" width="11.5703125" style="207"/>
  </cols>
  <sheetData>
    <row r="4" spans="2:14" s="197" customFormat="1" x14ac:dyDescent="0.3">
      <c r="B4" s="709" t="s">
        <v>32</v>
      </c>
      <c r="C4" s="709"/>
      <c r="D4" s="709"/>
      <c r="E4" s="709"/>
      <c r="F4" s="709"/>
      <c r="G4" s="709"/>
      <c r="H4" s="709"/>
      <c r="I4" s="709"/>
      <c r="J4" s="709"/>
      <c r="K4" s="709"/>
      <c r="L4" s="709"/>
      <c r="M4" s="195"/>
      <c r="N4" s="196"/>
    </row>
    <row r="5" spans="2:14" s="197" customFormat="1" x14ac:dyDescent="0.3">
      <c r="B5" s="709" t="s">
        <v>31</v>
      </c>
      <c r="C5" s="709"/>
      <c r="D5" s="709"/>
      <c r="E5" s="709"/>
      <c r="F5" s="709"/>
      <c r="G5" s="709"/>
      <c r="H5" s="709"/>
      <c r="I5" s="709"/>
      <c r="J5" s="709"/>
      <c r="K5" s="709"/>
      <c r="L5" s="709"/>
      <c r="M5" s="198"/>
    </row>
    <row r="6" spans="2:14" s="197" customFormat="1" x14ac:dyDescent="0.3">
      <c r="B6" s="709" t="s">
        <v>30</v>
      </c>
      <c r="C6" s="709"/>
      <c r="D6" s="709"/>
      <c r="E6" s="709"/>
      <c r="F6" s="709"/>
      <c r="G6" s="709"/>
      <c r="H6" s="709"/>
      <c r="I6" s="709"/>
      <c r="J6" s="709"/>
      <c r="K6" s="709"/>
      <c r="L6" s="709"/>
      <c r="M6" s="198"/>
    </row>
    <row r="7" spans="2:14" s="197" customFormat="1" x14ac:dyDescent="0.3">
      <c r="B7" s="709" t="s">
        <v>53</v>
      </c>
      <c r="C7" s="709"/>
      <c r="D7" s="709"/>
      <c r="E7" s="709"/>
      <c r="F7" s="709"/>
      <c r="G7" s="709"/>
      <c r="H7" s="709"/>
      <c r="I7" s="709"/>
      <c r="J7" s="709"/>
      <c r="K7" s="709"/>
      <c r="L7" s="198"/>
      <c r="M7" s="198"/>
    </row>
    <row r="8" spans="2:14" s="197" customFormat="1" x14ac:dyDescent="0.3">
      <c r="B8" s="709" t="s">
        <v>28</v>
      </c>
      <c r="C8" s="709"/>
      <c r="D8" s="709"/>
      <c r="E8" s="709"/>
      <c r="F8" s="709"/>
      <c r="G8" s="709"/>
      <c r="H8" s="709"/>
      <c r="I8" s="709"/>
      <c r="J8" s="709"/>
      <c r="K8" s="709"/>
      <c r="L8" s="709"/>
      <c r="M8" s="198"/>
    </row>
    <row r="9" spans="2:14" s="197" customFormat="1" x14ac:dyDescent="0.3">
      <c r="B9" s="709" t="s">
        <v>54</v>
      </c>
      <c r="C9" s="709"/>
      <c r="D9" s="709"/>
      <c r="E9" s="709"/>
      <c r="F9" s="709"/>
      <c r="G9" s="709"/>
      <c r="H9" s="709"/>
      <c r="I9" s="709"/>
      <c r="J9" s="709"/>
      <c r="K9" s="709"/>
      <c r="L9" s="709"/>
      <c r="M9" s="198"/>
      <c r="N9" s="196"/>
    </row>
    <row r="10" spans="2:14" s="197" customFormat="1" x14ac:dyDescent="0.3">
      <c r="B10" s="708" t="s">
        <v>55</v>
      </c>
      <c r="C10" s="708"/>
      <c r="D10" s="708"/>
      <c r="E10" s="708"/>
      <c r="F10" s="708"/>
      <c r="G10" s="708"/>
      <c r="H10" s="708"/>
      <c r="I10" s="708"/>
      <c r="J10" s="708"/>
      <c r="K10" s="708"/>
      <c r="L10" s="29"/>
      <c r="M10" s="29"/>
      <c r="N10" s="199"/>
    </row>
    <row r="11" spans="2:14" s="197" customFormat="1" x14ac:dyDescent="0.3">
      <c r="B11" s="200"/>
      <c r="C11" s="200"/>
      <c r="D11" s="201"/>
      <c r="E11" s="200"/>
      <c r="F11" s="201"/>
      <c r="G11" s="200"/>
      <c r="H11" s="201"/>
      <c r="I11" s="202"/>
      <c r="J11" s="200"/>
      <c r="K11" s="200"/>
      <c r="L11" s="200"/>
      <c r="M11" s="200"/>
      <c r="N11" s="200"/>
    </row>
    <row r="12" spans="2:14" s="197" customFormat="1" x14ac:dyDescent="0.3">
      <c r="B12" s="200"/>
      <c r="C12" s="200"/>
      <c r="D12" s="201"/>
      <c r="E12" s="200"/>
      <c r="F12" s="201"/>
      <c r="G12" s="200"/>
      <c r="H12" s="201"/>
      <c r="I12" s="202"/>
      <c r="J12" s="200"/>
      <c r="K12" s="200"/>
      <c r="L12" s="200"/>
      <c r="M12" s="200"/>
      <c r="N12" s="200"/>
    </row>
    <row r="13" spans="2:14" ht="54" x14ac:dyDescent="0.3">
      <c r="B13" s="121"/>
      <c r="C13" s="203" t="s">
        <v>56</v>
      </c>
      <c r="D13" s="203"/>
      <c r="E13" s="203" t="s">
        <v>57</v>
      </c>
      <c r="F13" s="203"/>
      <c r="G13" s="203" t="s">
        <v>58</v>
      </c>
      <c r="H13" s="204"/>
      <c r="I13" s="203" t="s">
        <v>59</v>
      </c>
      <c r="J13" s="205"/>
      <c r="K13" s="206" t="s">
        <v>60</v>
      </c>
      <c r="L13" s="1"/>
      <c r="M13" s="1"/>
    </row>
    <row r="14" spans="2:14" ht="52.15" customHeight="1" x14ac:dyDescent="0.3">
      <c r="B14" s="121"/>
      <c r="C14" s="208"/>
      <c r="D14" s="209"/>
      <c r="E14" s="210"/>
      <c r="F14" s="204"/>
      <c r="G14" s="1"/>
      <c r="H14" s="211"/>
      <c r="I14" s="212"/>
      <c r="J14" s="208"/>
      <c r="K14" s="213"/>
      <c r="L14" s="1"/>
      <c r="M14" s="1"/>
    </row>
    <row r="15" spans="2:14" ht="52.15" customHeight="1" x14ac:dyDescent="0.3">
      <c r="B15" s="121"/>
      <c r="C15" s="121"/>
      <c r="D15" s="214"/>
      <c r="E15" s="121"/>
      <c r="F15" s="214"/>
      <c r="G15" s="121"/>
      <c r="H15" s="214"/>
      <c r="I15" s="109"/>
      <c r="J15" s="121"/>
      <c r="K15" s="215"/>
      <c r="L15" s="1"/>
      <c r="M15" s="1"/>
    </row>
    <row r="16" spans="2:14" ht="27.75" customHeight="1" x14ac:dyDescent="0.3">
      <c r="B16" s="216" t="s">
        <v>61</v>
      </c>
      <c r="C16" s="217">
        <v>0</v>
      </c>
      <c r="D16" s="217"/>
      <c r="E16" s="217">
        <v>0</v>
      </c>
      <c r="F16" s="217"/>
      <c r="G16" s="217">
        <v>0</v>
      </c>
      <c r="H16" s="217"/>
      <c r="I16" s="218">
        <v>116917131.43121788</v>
      </c>
      <c r="J16" s="219"/>
      <c r="K16" s="218">
        <f>+I16</f>
        <v>116917131.43121788</v>
      </c>
      <c r="L16" s="1"/>
      <c r="M16" s="1"/>
    </row>
    <row r="17" spans="2:13" ht="27.75" hidden="1" customHeight="1" x14ac:dyDescent="0.3">
      <c r="B17" s="70" t="s">
        <v>62</v>
      </c>
      <c r="C17" s="220"/>
      <c r="D17" s="220"/>
      <c r="E17" s="217">
        <v>0</v>
      </c>
      <c r="F17" s="217"/>
      <c r="G17" s="221"/>
      <c r="H17" s="221"/>
      <c r="I17" s="222"/>
      <c r="J17" s="223"/>
      <c r="K17" s="222"/>
      <c r="L17" s="1"/>
      <c r="M17" s="1"/>
    </row>
    <row r="18" spans="2:13" ht="27.75" hidden="1" customHeight="1" x14ac:dyDescent="0.3">
      <c r="B18" s="70" t="s">
        <v>63</v>
      </c>
      <c r="C18" s="220"/>
      <c r="D18" s="220"/>
      <c r="E18" s="220"/>
      <c r="F18" s="220"/>
      <c r="G18" s="221"/>
      <c r="H18" s="221"/>
      <c r="I18" s="218"/>
      <c r="J18" s="219"/>
      <c r="K18" s="218"/>
      <c r="L18" s="1"/>
      <c r="M18" s="1"/>
    </row>
    <row r="19" spans="2:13" ht="27.75" customHeight="1" x14ac:dyDescent="0.3">
      <c r="B19" s="216" t="s">
        <v>64</v>
      </c>
      <c r="C19" s="224"/>
      <c r="D19" s="220"/>
      <c r="E19" s="224"/>
      <c r="F19" s="220"/>
      <c r="G19" s="225"/>
      <c r="H19" s="221"/>
      <c r="I19" s="226">
        <v>-3491375.0334996656</v>
      </c>
      <c r="J19" s="219"/>
      <c r="K19" s="226">
        <f>+I19</f>
        <v>-3491375.0334996656</v>
      </c>
      <c r="L19" s="1"/>
      <c r="M19" s="1"/>
    </row>
    <row r="20" spans="2:13" ht="52.15" hidden="1" customHeight="1" x14ac:dyDescent="0.3">
      <c r="B20" s="216" t="s">
        <v>65</v>
      </c>
      <c r="C20" s="218" t="s">
        <v>66</v>
      </c>
      <c r="D20" s="218"/>
      <c r="E20" s="218" t="s">
        <v>66</v>
      </c>
      <c r="F20" s="218"/>
      <c r="G20" s="218" t="s">
        <v>66</v>
      </c>
      <c r="H20" s="218"/>
      <c r="I20" s="227">
        <v>0</v>
      </c>
      <c r="J20" s="228"/>
      <c r="K20" s="227">
        <f>+I20</f>
        <v>0</v>
      </c>
      <c r="L20" s="1"/>
      <c r="M20" s="72"/>
    </row>
    <row r="21" spans="2:13" ht="18.75" customHeight="1" x14ac:dyDescent="0.3">
      <c r="B21" s="216" t="s">
        <v>67</v>
      </c>
      <c r="C21" s="227">
        <f>SUM(C16:C20)</f>
        <v>0</v>
      </c>
      <c r="D21" s="218"/>
      <c r="E21" s="227">
        <f>SUM(E16:E20)</f>
        <v>0</v>
      </c>
      <c r="F21" s="218"/>
      <c r="G21" s="227">
        <f>SUM(G16:G20)</f>
        <v>0</v>
      </c>
      <c r="H21" s="218"/>
      <c r="I21" s="227">
        <f>SUM(I16:I20)</f>
        <v>113425756.39771822</v>
      </c>
      <c r="J21" s="219"/>
      <c r="K21" s="227">
        <f>SUM(K16:K20)</f>
        <v>113425756.39771822</v>
      </c>
      <c r="L21" s="1"/>
      <c r="M21" s="1"/>
    </row>
    <row r="22" spans="2:13" x14ac:dyDescent="0.3">
      <c r="B22" s="216" t="s">
        <v>62</v>
      </c>
      <c r="C22" s="229"/>
      <c r="D22" s="218"/>
      <c r="E22" s="229"/>
      <c r="F22" s="218"/>
      <c r="G22" s="229"/>
      <c r="H22" s="218"/>
      <c r="I22" s="218"/>
      <c r="J22" s="219"/>
      <c r="K22" s="218"/>
      <c r="L22" s="1"/>
      <c r="M22" s="72"/>
    </row>
    <row r="23" spans="2:13" ht="36" x14ac:dyDescent="0.3">
      <c r="B23" s="216" t="s">
        <v>63</v>
      </c>
      <c r="C23" s="229"/>
      <c r="D23" s="218"/>
      <c r="E23" s="229"/>
      <c r="F23" s="218"/>
      <c r="G23" s="229">
        <v>0</v>
      </c>
      <c r="H23" s="218"/>
      <c r="I23" s="229"/>
      <c r="J23" s="230"/>
      <c r="K23" s="229"/>
      <c r="L23" s="1"/>
      <c r="M23" s="1"/>
    </row>
    <row r="24" spans="2:13" ht="36" x14ac:dyDescent="0.3">
      <c r="B24" s="216" t="s">
        <v>68</v>
      </c>
      <c r="C24" s="229"/>
      <c r="D24" s="218"/>
      <c r="E24" s="229"/>
      <c r="F24" s="218"/>
      <c r="G24" s="229">
        <v>0</v>
      </c>
      <c r="H24" s="218"/>
      <c r="I24" s="229">
        <v>0</v>
      </c>
      <c r="J24" s="230"/>
      <c r="K24" s="229">
        <v>0</v>
      </c>
      <c r="L24" s="1"/>
      <c r="M24" s="1"/>
    </row>
    <row r="25" spans="2:13" x14ac:dyDescent="0.3">
      <c r="B25" s="216" t="s">
        <v>64</v>
      </c>
      <c r="C25" s="227"/>
      <c r="D25" s="218"/>
      <c r="E25" s="227"/>
      <c r="F25" s="218"/>
      <c r="G25" s="227"/>
      <c r="H25" s="218"/>
      <c r="I25" s="227">
        <v>0</v>
      </c>
      <c r="J25" s="230"/>
      <c r="K25" s="227">
        <v>0</v>
      </c>
      <c r="L25" s="1"/>
      <c r="M25" s="1"/>
    </row>
    <row r="26" spans="2:13" ht="18.75" customHeight="1" x14ac:dyDescent="0.3">
      <c r="B26" s="216" t="s">
        <v>69</v>
      </c>
      <c r="C26" s="226" t="s">
        <v>66</v>
      </c>
      <c r="D26" s="231"/>
      <c r="E26" s="226" t="s">
        <v>66</v>
      </c>
      <c r="F26" s="231"/>
      <c r="G26" s="226" t="s">
        <v>66</v>
      </c>
      <c r="H26" s="231"/>
      <c r="I26" s="226">
        <v>20427222.019090004</v>
      </c>
      <c r="J26" s="226"/>
      <c r="K26" s="226">
        <v>20427222.019090004</v>
      </c>
      <c r="L26" s="1"/>
      <c r="M26" s="1"/>
    </row>
    <row r="27" spans="2:13" ht="18.75" customHeight="1" x14ac:dyDescent="0.3">
      <c r="B27" s="36" t="s">
        <v>70</v>
      </c>
      <c r="C27" s="232">
        <v>0</v>
      </c>
      <c r="D27" s="218"/>
      <c r="E27" s="232">
        <v>0</v>
      </c>
      <c r="F27" s="218"/>
      <c r="G27" s="232">
        <v>0</v>
      </c>
      <c r="H27" s="218"/>
      <c r="I27" s="232">
        <f>+I21+I26</f>
        <v>133852978.41680822</v>
      </c>
      <c r="J27" s="233"/>
      <c r="K27" s="232">
        <f>+K21+K26</f>
        <v>133852978.41680822</v>
      </c>
      <c r="L27" s="72">
        <f>+K27-'1.Estado de Situación Comparat'!E44</f>
        <v>0</v>
      </c>
      <c r="M27" s="1"/>
    </row>
    <row r="28" spans="2:13" x14ac:dyDescent="0.3">
      <c r="B28" s="10"/>
      <c r="C28" s="1"/>
      <c r="D28" s="211"/>
      <c r="E28" s="1"/>
      <c r="F28" s="211"/>
      <c r="G28" s="1"/>
      <c r="H28" s="211"/>
      <c r="I28" s="234"/>
      <c r="J28" s="235"/>
      <c r="K28" s="236"/>
      <c r="L28" s="1"/>
      <c r="M28" s="1"/>
    </row>
    <row r="29" spans="2:13" hidden="1" x14ac:dyDescent="0.3">
      <c r="B29" s="70" t="s">
        <v>62</v>
      </c>
      <c r="C29" s="237"/>
      <c r="D29" s="220"/>
      <c r="E29" s="238">
        <v>0</v>
      </c>
      <c r="F29" s="217"/>
      <c r="G29" s="239"/>
      <c r="H29" s="221"/>
      <c r="I29" s="240"/>
      <c r="J29" s="241"/>
      <c r="K29" s="240"/>
      <c r="L29" s="1"/>
      <c r="M29" s="1"/>
    </row>
    <row r="30" spans="2:13" ht="36" hidden="1" x14ac:dyDescent="0.3">
      <c r="B30" s="70" t="s">
        <v>63</v>
      </c>
      <c r="C30" s="237"/>
      <c r="D30" s="220"/>
      <c r="E30" s="237"/>
      <c r="F30" s="220"/>
      <c r="G30" s="239"/>
      <c r="H30" s="221"/>
      <c r="I30" s="229"/>
      <c r="J30" s="230"/>
      <c r="K30" s="229"/>
      <c r="L30" s="1"/>
      <c r="M30" s="1"/>
    </row>
    <row r="31" spans="2:13" hidden="1" x14ac:dyDescent="0.3">
      <c r="B31" s="216" t="s">
        <v>64</v>
      </c>
      <c r="C31" s="237"/>
      <c r="D31" s="220"/>
      <c r="E31" s="237"/>
      <c r="F31" s="220"/>
      <c r="G31" s="239"/>
      <c r="H31" s="221"/>
      <c r="I31" s="242"/>
      <c r="J31" s="230"/>
      <c r="K31" s="242"/>
      <c r="L31" s="1"/>
      <c r="M31" s="1"/>
    </row>
    <row r="32" spans="2:13" hidden="1" x14ac:dyDescent="0.3">
      <c r="B32" s="216" t="s">
        <v>65</v>
      </c>
      <c r="C32" s="232" t="s">
        <v>66</v>
      </c>
      <c r="D32" s="218"/>
      <c r="E32" s="232" t="s">
        <v>66</v>
      </c>
      <c r="F32" s="218"/>
      <c r="G32" s="232" t="s">
        <v>66</v>
      </c>
      <c r="H32" s="218"/>
      <c r="I32" s="227"/>
      <c r="J32" s="243"/>
      <c r="K32" s="227"/>
      <c r="L32" s="1"/>
      <c r="M32" s="1"/>
    </row>
    <row r="33" spans="2:15" hidden="1" x14ac:dyDescent="0.3">
      <c r="B33" s="216" t="s">
        <v>71</v>
      </c>
      <c r="C33" s="232">
        <f>SUM(C29:C32)</f>
        <v>0</v>
      </c>
      <c r="D33" s="218"/>
      <c r="E33" s="232">
        <f>SUM(E29:E32)</f>
        <v>0</v>
      </c>
      <c r="F33" s="218"/>
      <c r="G33" s="232">
        <f>SUM(G29:G32)</f>
        <v>0</v>
      </c>
      <c r="H33" s="218"/>
      <c r="I33" s="232">
        <f>SUM(I29:I32)</f>
        <v>0</v>
      </c>
      <c r="J33" s="219"/>
      <c r="K33" s="232">
        <f>SUM(K29:K32)</f>
        <v>0</v>
      </c>
      <c r="L33" s="1"/>
      <c r="M33" s="1"/>
    </row>
    <row r="34" spans="2:15" ht="18.75" hidden="1" customHeight="1" x14ac:dyDescent="0.3">
      <c r="B34" s="216" t="s">
        <v>62</v>
      </c>
      <c r="C34" s="229"/>
      <c r="D34" s="218"/>
      <c r="E34" s="229"/>
      <c r="F34" s="218"/>
      <c r="G34" s="229"/>
      <c r="H34" s="218"/>
      <c r="I34" s="218"/>
      <c r="J34" s="219"/>
      <c r="K34" s="218"/>
      <c r="L34" s="1"/>
      <c r="M34" s="1"/>
    </row>
    <row r="35" spans="2:15" ht="36" customHeight="1" x14ac:dyDescent="0.3">
      <c r="B35" s="216" t="s">
        <v>63</v>
      </c>
      <c r="C35" s="229"/>
      <c r="D35" s="218"/>
      <c r="E35" s="229"/>
      <c r="F35" s="218"/>
      <c r="G35" s="229">
        <v>0</v>
      </c>
      <c r="H35" s="218"/>
      <c r="I35" s="229"/>
      <c r="J35" s="230"/>
      <c r="K35" s="229"/>
      <c r="L35" s="1"/>
      <c r="M35" s="1"/>
    </row>
    <row r="36" spans="2:15" ht="36" customHeight="1" x14ac:dyDescent="0.3">
      <c r="B36" s="216" t="s">
        <v>68</v>
      </c>
      <c r="C36" s="229"/>
      <c r="D36" s="218"/>
      <c r="E36" s="229"/>
      <c r="F36" s="218"/>
      <c r="G36" s="229">
        <v>0</v>
      </c>
      <c r="H36" s="218"/>
      <c r="I36" s="229">
        <v>0</v>
      </c>
      <c r="J36" s="230"/>
      <c r="K36" s="229">
        <v>0</v>
      </c>
      <c r="L36" s="1"/>
      <c r="M36" s="1"/>
    </row>
    <row r="37" spans="2:15" ht="18.75" customHeight="1" x14ac:dyDescent="0.3">
      <c r="B37" s="216" t="s">
        <v>64</v>
      </c>
      <c r="C37" s="227"/>
      <c r="D37" s="218"/>
      <c r="E37" s="227"/>
      <c r="F37" s="218"/>
      <c r="G37" s="227"/>
      <c r="H37" s="218"/>
      <c r="I37" s="227">
        <v>0</v>
      </c>
      <c r="J37" s="230"/>
      <c r="K37" s="227">
        <v>0</v>
      </c>
      <c r="L37" s="1"/>
      <c r="M37" s="1"/>
    </row>
    <row r="38" spans="2:15" ht="18.75" customHeight="1" x14ac:dyDescent="0.3">
      <c r="B38" s="216" t="s">
        <v>65</v>
      </c>
      <c r="C38" s="226" t="s">
        <v>66</v>
      </c>
      <c r="D38" s="231"/>
      <c r="E38" s="226" t="s">
        <v>66</v>
      </c>
      <c r="F38" s="231"/>
      <c r="G38" s="226" t="s">
        <v>66</v>
      </c>
      <c r="H38" s="231"/>
      <c r="I38" s="226">
        <v>94883730.690576643</v>
      </c>
      <c r="J38" s="230"/>
      <c r="K38" s="226">
        <v>94883730.690576643</v>
      </c>
      <c r="L38" s="72"/>
      <c r="M38" s="1"/>
      <c r="O38" s="244"/>
    </row>
    <row r="39" spans="2:15" ht="18.75" customHeight="1" x14ac:dyDescent="0.3">
      <c r="B39" s="36" t="s">
        <v>71</v>
      </c>
      <c r="C39" s="232">
        <v>0</v>
      </c>
      <c r="D39" s="218"/>
      <c r="E39" s="232">
        <v>0</v>
      </c>
      <c r="F39" s="218"/>
      <c r="G39" s="232">
        <v>0</v>
      </c>
      <c r="H39" s="218"/>
      <c r="I39" s="226">
        <f>+I27+I38</f>
        <v>228736709.10738486</v>
      </c>
      <c r="J39" s="233"/>
      <c r="K39" s="226">
        <f>+K27+K38</f>
        <v>228736709.10738486</v>
      </c>
      <c r="L39" s="1"/>
      <c r="M39" s="1"/>
    </row>
    <row r="40" spans="2:15" ht="18.75" customHeight="1" x14ac:dyDescent="0.3">
      <c r="I40" s="246">
        <f>+I39-'1.Estado de Situación Comparat'!C44</f>
        <v>0</v>
      </c>
      <c r="J40" s="247"/>
      <c r="K40" s="248">
        <f>+K39-'1.Estado de Situación Comparat'!C44</f>
        <v>0</v>
      </c>
    </row>
    <row r="41" spans="2:15" ht="18.75" customHeight="1" x14ac:dyDescent="0.3">
      <c r="I41" s="249"/>
      <c r="J41" s="244"/>
    </row>
    <row r="42" spans="2:15" ht="18.75" customHeight="1" x14ac:dyDescent="0.3"/>
    <row r="43" spans="2:15" ht="18.75" customHeight="1" x14ac:dyDescent="0.3"/>
    <row r="44" spans="2:15" ht="18.75" customHeight="1" x14ac:dyDescent="0.3">
      <c r="B44" s="252"/>
    </row>
    <row r="45" spans="2:15" ht="18.75" customHeight="1" x14ac:dyDescent="0.3"/>
    <row r="46" spans="2:15" ht="18.75" customHeight="1" x14ac:dyDescent="0.3"/>
    <row r="47" spans="2:15" ht="18.75" customHeight="1" x14ac:dyDescent="0.3"/>
    <row r="48" spans="2: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sheetData>
  <mergeCells count="7">
    <mergeCell ref="B10:K10"/>
    <mergeCell ref="B4:L4"/>
    <mergeCell ref="B5:L5"/>
    <mergeCell ref="B6:L6"/>
    <mergeCell ref="B7:K7"/>
    <mergeCell ref="B8:L8"/>
    <mergeCell ref="B9:L9"/>
  </mergeCells>
  <pageMargins left="0.70866141732283472" right="0.70866141732283472" top="0.74803149606299213" bottom="0.74803149606299213" header="0.31496062992125984" footer="0.31496062992125984"/>
  <pageSetup paperSize="9" scale="3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5:L67"/>
  <sheetViews>
    <sheetView showGridLines="0" topLeftCell="B25" zoomScale="80" zoomScaleNormal="80" workbookViewId="0">
      <selection activeCell="K65" sqref="K65"/>
    </sheetView>
  </sheetViews>
  <sheetFormatPr baseColWidth="10" defaultColWidth="11.42578125" defaultRowHeight="14.25" x14ac:dyDescent="0.2"/>
  <cols>
    <col min="1" max="1" width="18.7109375" style="259" customWidth="1"/>
    <col min="2" max="2" width="75.42578125" style="259" customWidth="1"/>
    <col min="3" max="3" width="24.42578125" style="259" customWidth="1"/>
    <col min="4" max="4" width="4.42578125" style="264" customWidth="1"/>
    <col min="5" max="5" width="23.5703125" style="265" bestFit="1" customWidth="1"/>
    <col min="6" max="6" width="23.5703125" style="266" hidden="1" customWidth="1"/>
    <col min="7" max="8" width="23.5703125" style="259" hidden="1" customWidth="1"/>
    <col min="9" max="9" width="1.7109375" style="259" customWidth="1"/>
    <col min="10" max="10" width="28.7109375" style="264" bestFit="1" customWidth="1"/>
    <col min="11" max="11" width="21.5703125" style="264" bestFit="1" customWidth="1"/>
    <col min="12" max="12" width="22.42578125" style="264" bestFit="1" customWidth="1"/>
    <col min="13" max="13" width="16.28515625" style="259" bestFit="1" customWidth="1"/>
    <col min="14" max="16384" width="11.42578125" style="259"/>
  </cols>
  <sheetData>
    <row r="5" spans="1:12" s="256" customFormat="1" ht="15" x14ac:dyDescent="0.25">
      <c r="A5" s="253"/>
      <c r="B5" s="710" t="s">
        <v>32</v>
      </c>
      <c r="C5" s="710"/>
      <c r="D5" s="710"/>
      <c r="E5" s="710"/>
      <c r="F5" s="253"/>
      <c r="G5" s="253"/>
      <c r="H5" s="253"/>
      <c r="I5" s="253"/>
      <c r="J5" s="254"/>
      <c r="K5" s="254"/>
      <c r="L5" s="255"/>
    </row>
    <row r="6" spans="1:12" s="258" customFormat="1" x14ac:dyDescent="0.2">
      <c r="A6" s="253"/>
      <c r="B6" s="710" t="s">
        <v>31</v>
      </c>
      <c r="C6" s="710"/>
      <c r="D6" s="710"/>
      <c r="E6" s="710"/>
      <c r="F6" s="253"/>
      <c r="G6" s="253"/>
      <c r="H6" s="253"/>
      <c r="I6" s="253"/>
      <c r="J6" s="254"/>
      <c r="K6" s="254"/>
      <c r="L6" s="257"/>
    </row>
    <row r="7" spans="1:12" s="258" customFormat="1" ht="15" customHeight="1" x14ac:dyDescent="0.2">
      <c r="A7" s="253"/>
      <c r="B7" s="710" t="s">
        <v>30</v>
      </c>
      <c r="C7" s="710"/>
      <c r="D7" s="710"/>
      <c r="E7" s="710"/>
      <c r="F7" s="253"/>
      <c r="G7" s="253"/>
      <c r="H7" s="253"/>
      <c r="I7" s="253"/>
      <c r="J7" s="254"/>
      <c r="K7" s="254"/>
      <c r="L7" s="257"/>
    </row>
    <row r="8" spans="1:12" s="258" customFormat="1" ht="15" customHeight="1" x14ac:dyDescent="0.2">
      <c r="A8" s="253"/>
      <c r="B8" s="710" t="s">
        <v>72</v>
      </c>
      <c r="C8" s="710"/>
      <c r="D8" s="710"/>
      <c r="E8" s="710"/>
      <c r="F8" s="253"/>
      <c r="G8" s="253"/>
      <c r="H8" s="253"/>
      <c r="I8" s="253"/>
      <c r="J8" s="254"/>
      <c r="K8" s="254"/>
      <c r="L8" s="257"/>
    </row>
    <row r="9" spans="1:12" s="258" customFormat="1" ht="15" customHeight="1" x14ac:dyDescent="0.2">
      <c r="A9" s="253"/>
      <c r="B9" s="710" t="s">
        <v>28</v>
      </c>
      <c r="C9" s="710"/>
      <c r="D9" s="710"/>
      <c r="E9" s="710"/>
      <c r="F9" s="253"/>
      <c r="G9" s="253"/>
      <c r="H9" s="253"/>
      <c r="I9" s="253"/>
      <c r="J9" s="254"/>
      <c r="K9" s="254"/>
      <c r="L9" s="257"/>
    </row>
    <row r="10" spans="1:12" s="258" customFormat="1" x14ac:dyDescent="0.2">
      <c r="B10" s="259"/>
      <c r="D10" s="257"/>
      <c r="E10" s="260"/>
      <c r="F10" s="261"/>
      <c r="H10" s="262"/>
      <c r="I10" s="262"/>
      <c r="J10" s="257"/>
      <c r="K10" s="257"/>
      <c r="L10" s="257"/>
    </row>
    <row r="11" spans="1:12" x14ac:dyDescent="0.2">
      <c r="B11" s="263"/>
    </row>
    <row r="12" spans="1:12" x14ac:dyDescent="0.2">
      <c r="B12" s="267" t="s">
        <v>73</v>
      </c>
    </row>
    <row r="13" spans="1:12" x14ac:dyDescent="0.2">
      <c r="B13" s="268"/>
    </row>
    <row r="14" spans="1:12" x14ac:dyDescent="0.2">
      <c r="C14" s="268">
        <v>2022</v>
      </c>
      <c r="D14" s="269"/>
      <c r="E14" s="268">
        <v>2021</v>
      </c>
    </row>
    <row r="15" spans="1:12" x14ac:dyDescent="0.2">
      <c r="C15" s="270"/>
      <c r="D15" s="271"/>
      <c r="E15" s="270"/>
    </row>
    <row r="16" spans="1:12" x14ac:dyDescent="0.2">
      <c r="B16" s="272" t="s">
        <v>74</v>
      </c>
      <c r="C16" s="273">
        <v>792702266.97299993</v>
      </c>
      <c r="D16" s="274"/>
      <c r="E16" s="273">
        <v>672955029.54000008</v>
      </c>
      <c r="G16" s="275"/>
      <c r="J16" s="276"/>
      <c r="K16" s="277"/>
    </row>
    <row r="17" spans="2:12" x14ac:dyDescent="0.2">
      <c r="B17" s="272" t="s">
        <v>75</v>
      </c>
      <c r="C17" s="273">
        <v>357145152.87</v>
      </c>
      <c r="D17" s="274"/>
      <c r="E17" s="273">
        <v>316516898.14999998</v>
      </c>
      <c r="F17" s="266">
        <v>64524281.999999993</v>
      </c>
      <c r="G17" s="266">
        <f>+C16+C17</f>
        <v>1149847419.8429999</v>
      </c>
      <c r="H17" s="275">
        <f>+C16+C17</f>
        <v>1149847419.8429999</v>
      </c>
      <c r="I17" s="275"/>
      <c r="J17" s="276"/>
      <c r="K17" s="277"/>
    </row>
    <row r="18" spans="2:12" x14ac:dyDescent="0.2">
      <c r="B18" s="272" t="s">
        <v>76</v>
      </c>
      <c r="C18" s="273">
        <v>0</v>
      </c>
      <c r="D18" s="274"/>
      <c r="E18" s="273">
        <f>+-20000</f>
        <v>-20000</v>
      </c>
      <c r="G18" s="275"/>
      <c r="J18" s="278"/>
      <c r="K18" s="277"/>
      <c r="L18" s="277"/>
    </row>
    <row r="19" spans="2:12" s="265" customFormat="1" x14ac:dyDescent="0.2">
      <c r="B19" s="279" t="s">
        <v>77</v>
      </c>
      <c r="C19" s="280"/>
      <c r="D19" s="281"/>
      <c r="E19" s="280"/>
      <c r="F19" s="282"/>
      <c r="J19" s="283"/>
      <c r="K19" s="284"/>
      <c r="L19" s="285"/>
    </row>
    <row r="20" spans="2:12" s="265" customFormat="1" x14ac:dyDescent="0.2">
      <c r="B20" s="279" t="s">
        <v>78</v>
      </c>
      <c r="C20" s="280">
        <v>0</v>
      </c>
      <c r="D20" s="281"/>
      <c r="E20" s="280">
        <v>0</v>
      </c>
      <c r="F20" s="282"/>
      <c r="J20" s="283"/>
      <c r="K20" s="284"/>
      <c r="L20" s="285"/>
    </row>
    <row r="21" spans="2:12" x14ac:dyDescent="0.2">
      <c r="B21" s="272" t="s">
        <v>79</v>
      </c>
      <c r="C21" s="273">
        <v>-529513529.89999998</v>
      </c>
      <c r="D21" s="274"/>
      <c r="E21" s="273">
        <f>+-532892634</f>
        <v>-532892634</v>
      </c>
      <c r="F21" s="266">
        <v>61688223.059999995</v>
      </c>
      <c r="G21" s="275">
        <f>+F21-F22</f>
        <v>61688223.059999995</v>
      </c>
      <c r="H21" s="275">
        <v>36364164.43</v>
      </c>
      <c r="I21" s="275"/>
      <c r="J21" s="286"/>
      <c r="K21" s="277"/>
      <c r="L21" s="287"/>
    </row>
    <row r="22" spans="2:12" x14ac:dyDescent="0.2">
      <c r="B22" s="272" t="s">
        <v>80</v>
      </c>
      <c r="C22" s="273">
        <v>-50785728.380000003</v>
      </c>
      <c r="D22" s="274"/>
      <c r="E22" s="273">
        <v>-63480954.199999996</v>
      </c>
      <c r="G22" s="275"/>
      <c r="J22" s="286"/>
      <c r="K22" s="277"/>
    </row>
    <row r="23" spans="2:12" x14ac:dyDescent="0.2">
      <c r="B23" s="272" t="s">
        <v>81</v>
      </c>
      <c r="C23" s="288">
        <v>-560778483.02269995</v>
      </c>
      <c r="D23" s="274"/>
      <c r="E23" s="288">
        <v>-394909177.29950005</v>
      </c>
      <c r="G23" s="289"/>
      <c r="H23" s="275">
        <f>+C23+C33</f>
        <v>-579130285.16269994</v>
      </c>
      <c r="I23" s="275"/>
      <c r="J23" s="286"/>
      <c r="K23" s="277"/>
      <c r="L23" s="287"/>
    </row>
    <row r="24" spans="2:12" x14ac:dyDescent="0.2">
      <c r="B24" s="290" t="s">
        <v>82</v>
      </c>
      <c r="C24" s="291">
        <f>SUM(C16:C23)</f>
        <v>8769678.5403000116</v>
      </c>
      <c r="D24" s="291"/>
      <c r="E24" s="291">
        <f>SUM(E16:E23)</f>
        <v>-1830837.809499979</v>
      </c>
      <c r="F24" s="291"/>
      <c r="G24" s="266"/>
      <c r="H24" s="275">
        <f>+C23+C33</f>
        <v>-579130285.16269994</v>
      </c>
      <c r="I24" s="275"/>
      <c r="J24" s="276"/>
      <c r="K24" s="277"/>
    </row>
    <row r="25" spans="2:12" x14ac:dyDescent="0.2">
      <c r="B25" s="292"/>
      <c r="C25" s="293"/>
      <c r="D25" s="294"/>
      <c r="E25" s="293"/>
      <c r="F25" s="291"/>
      <c r="G25" s="289"/>
      <c r="J25" s="287"/>
      <c r="K25" s="277"/>
    </row>
    <row r="26" spans="2:12" x14ac:dyDescent="0.2">
      <c r="B26" s="295" t="s">
        <v>83</v>
      </c>
      <c r="C26" s="296"/>
      <c r="D26" s="297"/>
      <c r="E26" s="296"/>
      <c r="K26" s="277"/>
    </row>
    <row r="27" spans="2:12" ht="14.25" hidden="1" customHeight="1" x14ac:dyDescent="0.2">
      <c r="B27" s="298" t="s">
        <v>84</v>
      </c>
      <c r="C27" s="299">
        <v>0</v>
      </c>
      <c r="D27" s="274"/>
      <c r="E27" s="299">
        <v>0</v>
      </c>
      <c r="K27" s="277"/>
    </row>
    <row r="28" spans="2:12" ht="28.5" hidden="1" customHeight="1" x14ac:dyDescent="0.2">
      <c r="B28" s="272" t="s">
        <v>85</v>
      </c>
      <c r="C28" s="299">
        <v>0</v>
      </c>
      <c r="D28" s="274"/>
      <c r="E28" s="299">
        <v>0</v>
      </c>
      <c r="K28" s="277"/>
    </row>
    <row r="29" spans="2:12" ht="28.5" hidden="1" customHeight="1" x14ac:dyDescent="0.2">
      <c r="B29" s="272" t="s">
        <v>86</v>
      </c>
      <c r="C29" s="299">
        <v>0</v>
      </c>
      <c r="D29" s="274"/>
      <c r="E29" s="299">
        <v>0</v>
      </c>
      <c r="K29" s="277"/>
    </row>
    <row r="30" spans="2:12" ht="28.5" hidden="1" customHeight="1" x14ac:dyDescent="0.2">
      <c r="B30" s="272" t="s">
        <v>87</v>
      </c>
      <c r="C30" s="299">
        <v>0</v>
      </c>
      <c r="D30" s="274"/>
      <c r="E30" s="299">
        <v>0</v>
      </c>
      <c r="K30" s="277"/>
    </row>
    <row r="31" spans="2:12" ht="28.5" hidden="1" customHeight="1" x14ac:dyDescent="0.2">
      <c r="B31" s="272" t="s">
        <v>88</v>
      </c>
      <c r="C31" s="299">
        <v>0</v>
      </c>
      <c r="D31" s="274"/>
      <c r="E31" s="299">
        <v>0</v>
      </c>
      <c r="K31" s="277"/>
    </row>
    <row r="32" spans="2:12" ht="14.25" hidden="1" customHeight="1" x14ac:dyDescent="0.2">
      <c r="B32" s="272" t="s">
        <v>89</v>
      </c>
      <c r="C32" s="299">
        <v>0</v>
      </c>
      <c r="D32" s="274"/>
      <c r="E32" s="299">
        <v>0</v>
      </c>
      <c r="K32" s="277"/>
    </row>
    <row r="33" spans="2:11" x14ac:dyDescent="0.2">
      <c r="B33" s="272" t="s">
        <v>90</v>
      </c>
      <c r="C33" s="300">
        <f>+-18351802.14</f>
        <v>-18351802.140000001</v>
      </c>
      <c r="D33" s="274"/>
      <c r="E33" s="300">
        <v>-41228095.879999995</v>
      </c>
      <c r="J33" s="277"/>
      <c r="K33" s="277"/>
    </row>
    <row r="34" spans="2:11" ht="28.5" hidden="1" customHeight="1" x14ac:dyDescent="0.2">
      <c r="B34" s="272" t="s">
        <v>91</v>
      </c>
      <c r="C34" s="299">
        <v>0</v>
      </c>
      <c r="D34" s="274"/>
      <c r="E34" s="299">
        <v>0</v>
      </c>
      <c r="K34" s="277"/>
    </row>
    <row r="35" spans="2:11" ht="28.5" hidden="1" customHeight="1" x14ac:dyDescent="0.2">
      <c r="B35" s="272" t="s">
        <v>92</v>
      </c>
      <c r="C35" s="299">
        <v>0</v>
      </c>
      <c r="D35" s="274"/>
      <c r="E35" s="299">
        <v>0</v>
      </c>
      <c r="K35" s="277"/>
    </row>
    <row r="36" spans="2:11" ht="28.5" hidden="1" customHeight="1" x14ac:dyDescent="0.2">
      <c r="B36" s="272" t="s">
        <v>93</v>
      </c>
      <c r="C36" s="299">
        <v>0</v>
      </c>
      <c r="D36" s="274"/>
      <c r="E36" s="299">
        <v>0</v>
      </c>
      <c r="K36" s="277"/>
    </row>
    <row r="37" spans="2:11" ht="28.5" hidden="1" x14ac:dyDescent="0.2">
      <c r="B37" s="272" t="s">
        <v>94</v>
      </c>
      <c r="C37" s="299">
        <v>0</v>
      </c>
      <c r="D37" s="274"/>
      <c r="E37" s="299">
        <v>0</v>
      </c>
      <c r="K37" s="277"/>
    </row>
    <row r="38" spans="2:11" hidden="1" x14ac:dyDescent="0.2">
      <c r="B38" s="272" t="s">
        <v>95</v>
      </c>
      <c r="C38" s="299">
        <v>0</v>
      </c>
      <c r="D38" s="274"/>
      <c r="E38" s="299">
        <v>0</v>
      </c>
      <c r="K38" s="277"/>
    </row>
    <row r="39" spans="2:11" hidden="1" x14ac:dyDescent="0.2">
      <c r="B39" s="272" t="s">
        <v>96</v>
      </c>
      <c r="C39" s="301">
        <v>0</v>
      </c>
      <c r="D39" s="302"/>
      <c r="E39" s="301">
        <v>0</v>
      </c>
      <c r="K39" s="277"/>
    </row>
    <row r="40" spans="2:11" x14ac:dyDescent="0.2">
      <c r="B40" s="295" t="s">
        <v>97</v>
      </c>
      <c r="C40" s="291">
        <f>SUM(C27:C39)</f>
        <v>-18351802.140000001</v>
      </c>
      <c r="D40" s="291"/>
      <c r="E40" s="291">
        <f>+E33</f>
        <v>-41228095.879999995</v>
      </c>
      <c r="F40" s="291"/>
      <c r="J40" s="303"/>
      <c r="K40" s="277"/>
    </row>
    <row r="41" spans="2:11" x14ac:dyDescent="0.2">
      <c r="B41" s="292"/>
      <c r="C41" s="304"/>
      <c r="D41" s="305"/>
      <c r="E41" s="304"/>
      <c r="K41" s="277"/>
    </row>
    <row r="42" spans="2:11" x14ac:dyDescent="0.2">
      <c r="B42" s="295" t="s">
        <v>98</v>
      </c>
      <c r="C42" s="296"/>
      <c r="D42" s="297"/>
      <c r="E42" s="296"/>
      <c r="K42" s="277"/>
    </row>
    <row r="43" spans="2:11" hidden="1" x14ac:dyDescent="0.2">
      <c r="B43" s="272" t="s">
        <v>99</v>
      </c>
      <c r="C43" s="299">
        <v>0</v>
      </c>
      <c r="D43" s="274"/>
      <c r="E43" s="299">
        <v>0</v>
      </c>
      <c r="K43" s="277"/>
    </row>
    <row r="44" spans="2:11" hidden="1" x14ac:dyDescent="0.2">
      <c r="B44" s="272" t="s">
        <v>100</v>
      </c>
      <c r="C44" s="299">
        <v>0</v>
      </c>
      <c r="D44" s="274"/>
      <c r="E44" s="299">
        <v>0</v>
      </c>
      <c r="K44" s="277"/>
    </row>
    <row r="45" spans="2:11" hidden="1" x14ac:dyDescent="0.2">
      <c r="B45" s="272" t="s">
        <v>101</v>
      </c>
      <c r="C45" s="299">
        <v>0</v>
      </c>
      <c r="D45" s="274"/>
      <c r="E45" s="299">
        <v>0</v>
      </c>
      <c r="K45" s="277"/>
    </row>
    <row r="46" spans="2:11" ht="28.5" hidden="1" x14ac:dyDescent="0.2">
      <c r="B46" s="272" t="s">
        <v>102</v>
      </c>
      <c r="C46" s="299">
        <v>0</v>
      </c>
      <c r="D46" s="274"/>
      <c r="E46" s="299">
        <v>0</v>
      </c>
      <c r="K46" s="277"/>
    </row>
    <row r="47" spans="2:11" hidden="1" x14ac:dyDescent="0.2">
      <c r="B47" s="272" t="s">
        <v>89</v>
      </c>
      <c r="C47" s="299">
        <v>0</v>
      </c>
      <c r="D47" s="274"/>
      <c r="E47" s="299">
        <v>0</v>
      </c>
      <c r="K47" s="277"/>
    </row>
    <row r="48" spans="2:11" ht="28.5" hidden="1" x14ac:dyDescent="0.2">
      <c r="B48" s="272" t="s">
        <v>103</v>
      </c>
      <c r="C48" s="299">
        <v>0</v>
      </c>
      <c r="D48" s="274"/>
      <c r="E48" s="299">
        <v>0</v>
      </c>
      <c r="K48" s="277"/>
    </row>
    <row r="49" spans="2:12" ht="28.5" hidden="1" x14ac:dyDescent="0.2">
      <c r="B49" s="272" t="s">
        <v>104</v>
      </c>
      <c r="C49" s="299">
        <v>0</v>
      </c>
      <c r="D49" s="274"/>
      <c r="E49" s="299">
        <v>0</v>
      </c>
      <c r="K49" s="277"/>
    </row>
    <row r="50" spans="2:12" hidden="1" x14ac:dyDescent="0.2">
      <c r="B50" s="272" t="s">
        <v>105</v>
      </c>
      <c r="C50" s="299">
        <v>0</v>
      </c>
      <c r="D50" s="274"/>
      <c r="E50" s="299">
        <v>0</v>
      </c>
      <c r="K50" s="277"/>
    </row>
    <row r="51" spans="2:12" hidden="1" x14ac:dyDescent="0.2">
      <c r="B51" s="272" t="s">
        <v>106</v>
      </c>
      <c r="C51" s="299">
        <v>0</v>
      </c>
      <c r="D51" s="274"/>
      <c r="E51" s="299">
        <v>0</v>
      </c>
      <c r="K51" s="277"/>
    </row>
    <row r="52" spans="2:12" ht="28.5" hidden="1" x14ac:dyDescent="0.2">
      <c r="B52" s="272" t="s">
        <v>107</v>
      </c>
      <c r="C52" s="299">
        <v>0</v>
      </c>
      <c r="D52" s="274"/>
      <c r="E52" s="299">
        <v>0</v>
      </c>
      <c r="K52" s="277"/>
    </row>
    <row r="53" spans="2:12" x14ac:dyDescent="0.2">
      <c r="B53" s="272" t="s">
        <v>108</v>
      </c>
      <c r="C53" s="301">
        <v>0</v>
      </c>
      <c r="D53" s="302"/>
      <c r="E53" s="301">
        <v>0</v>
      </c>
      <c r="K53" s="277"/>
    </row>
    <row r="54" spans="2:12" x14ac:dyDescent="0.2">
      <c r="B54" s="295" t="s">
        <v>109</v>
      </c>
      <c r="C54" s="291">
        <f>SUM(C43:C53)</f>
        <v>0</v>
      </c>
      <c r="D54" s="306"/>
      <c r="E54" s="291">
        <v>0</v>
      </c>
      <c r="K54" s="277"/>
    </row>
    <row r="55" spans="2:12" x14ac:dyDescent="0.2">
      <c r="B55" s="292"/>
      <c r="C55" s="307"/>
      <c r="D55" s="308"/>
      <c r="E55" s="307"/>
      <c r="K55" s="277"/>
    </row>
    <row r="56" spans="2:12" ht="28.5" x14ac:dyDescent="0.2">
      <c r="B56" s="272" t="s">
        <v>110</v>
      </c>
      <c r="C56" s="309">
        <f>+C24+C40</f>
        <v>-9582123.599699989</v>
      </c>
      <c r="D56" s="309"/>
      <c r="E56" s="309">
        <f>+E24+E40</f>
        <v>-43058933.689499974</v>
      </c>
      <c r="J56" s="287"/>
      <c r="K56" s="277"/>
    </row>
    <row r="57" spans="2:12" x14ac:dyDescent="0.2">
      <c r="B57" s="272" t="s">
        <v>111</v>
      </c>
      <c r="C57" s="310">
        <f>+E58</f>
        <v>24933552.950500026</v>
      </c>
      <c r="D57" s="311"/>
      <c r="E57" s="310">
        <v>67992486.640000001</v>
      </c>
      <c r="G57" s="275"/>
      <c r="J57" s="308"/>
      <c r="K57" s="277"/>
    </row>
    <row r="58" spans="2:12" x14ac:dyDescent="0.2">
      <c r="B58" s="290" t="s">
        <v>112</v>
      </c>
      <c r="C58" s="312">
        <f>+C56+C57</f>
        <v>15351429.350800037</v>
      </c>
      <c r="D58" s="312"/>
      <c r="E58" s="312">
        <f>+E56+E57</f>
        <v>24933552.950500026</v>
      </c>
      <c r="J58" s="287"/>
      <c r="K58" s="277"/>
      <c r="L58" s="287"/>
    </row>
    <row r="59" spans="2:12" hidden="1" x14ac:dyDescent="0.2">
      <c r="C59" s="313">
        <v>85222464.894001156</v>
      </c>
      <c r="D59" s="303"/>
      <c r="E59" s="266">
        <v>68009785.783499643</v>
      </c>
    </row>
    <row r="60" spans="2:12" hidden="1" x14ac:dyDescent="0.2">
      <c r="C60" s="314">
        <f>+C59-C58</f>
        <v>69871035.543201119</v>
      </c>
      <c r="E60" s="315"/>
    </row>
    <row r="61" spans="2:12" x14ac:dyDescent="0.2">
      <c r="C61" s="266"/>
      <c r="E61" s="266"/>
    </row>
    <row r="62" spans="2:12" hidden="1" x14ac:dyDescent="0.2">
      <c r="C62" s="275"/>
      <c r="E62" s="315"/>
    </row>
    <row r="63" spans="2:12" x14ac:dyDescent="0.2">
      <c r="C63" s="316"/>
      <c r="E63" s="315"/>
    </row>
    <row r="64" spans="2:12" x14ac:dyDescent="0.2">
      <c r="C64" s="266"/>
      <c r="E64" s="315"/>
    </row>
    <row r="65" spans="3:10" x14ac:dyDescent="0.2">
      <c r="C65" s="307"/>
      <c r="E65" s="315"/>
    </row>
    <row r="66" spans="3:10" x14ac:dyDescent="0.2">
      <c r="H66" s="275"/>
      <c r="I66" s="275"/>
    </row>
    <row r="67" spans="3:10" x14ac:dyDescent="0.2">
      <c r="J67" s="287"/>
    </row>
  </sheetData>
  <mergeCells count="5">
    <mergeCell ref="B5:E5"/>
    <mergeCell ref="B6:E6"/>
    <mergeCell ref="B7:E7"/>
    <mergeCell ref="B8:E8"/>
    <mergeCell ref="B9:E9"/>
  </mergeCells>
  <pageMargins left="0.70866141732283472" right="0.70866141732283472" top="0.74803149606299213" bottom="0.74803149606299213" header="0.31496062992125984" footer="0.31496062992125984"/>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2:L918"/>
  <sheetViews>
    <sheetView showGridLines="0" tabSelected="1" zoomScale="80" zoomScaleNormal="80" zoomScaleSheetLayoutView="55" workbookViewId="0">
      <selection activeCell="H6" sqref="H6"/>
    </sheetView>
  </sheetViews>
  <sheetFormatPr baseColWidth="10" defaultColWidth="11.42578125" defaultRowHeight="18" x14ac:dyDescent="0.25"/>
  <cols>
    <col min="1" max="1" width="3" style="110" customWidth="1"/>
    <col min="2" max="2" width="59.5703125" style="110" customWidth="1"/>
    <col min="3" max="3" width="27.28515625" style="110" customWidth="1"/>
    <col min="4" max="4" width="27.7109375" style="320" customWidth="1"/>
    <col min="5" max="5" width="28.5703125" style="321" customWidth="1"/>
    <col min="6" max="6" width="30" style="110" customWidth="1"/>
    <col min="7" max="7" width="26.28515625" style="322" customWidth="1"/>
    <col min="8" max="8" width="33.42578125" style="110" customWidth="1"/>
    <col min="9" max="9" width="29.140625" style="317" customWidth="1"/>
    <col min="10" max="10" width="27.28515625" style="336" bestFit="1" customWidth="1"/>
    <col min="11" max="11" width="23.7109375" style="110" bestFit="1" customWidth="1"/>
    <col min="12" max="12" width="22.140625" style="110" bestFit="1" customWidth="1"/>
    <col min="13" max="16384" width="11.42578125" style="110"/>
  </cols>
  <sheetData>
    <row r="2" spans="1:8" x14ac:dyDescent="0.25">
      <c r="A2" s="706" t="s">
        <v>32</v>
      </c>
      <c r="B2" s="706"/>
      <c r="C2" s="706"/>
      <c r="D2" s="706"/>
      <c r="E2" s="706"/>
      <c r="F2" s="706"/>
      <c r="G2" s="706"/>
    </row>
    <row r="3" spans="1:8" x14ac:dyDescent="0.25">
      <c r="A3" s="706" t="s">
        <v>31</v>
      </c>
      <c r="B3" s="706"/>
      <c r="C3" s="706"/>
      <c r="D3" s="706"/>
      <c r="E3" s="706"/>
      <c r="F3" s="706"/>
      <c r="G3" s="706"/>
    </row>
    <row r="4" spans="1:8" x14ac:dyDescent="0.25">
      <c r="A4" s="706" t="s">
        <v>30</v>
      </c>
      <c r="B4" s="706"/>
      <c r="C4" s="706"/>
      <c r="D4" s="706"/>
      <c r="E4" s="706"/>
      <c r="F4" s="706"/>
      <c r="G4" s="706"/>
    </row>
    <row r="5" spans="1:8" x14ac:dyDescent="0.25">
      <c r="A5" s="706" t="s">
        <v>115</v>
      </c>
      <c r="B5" s="706"/>
      <c r="C5" s="706"/>
      <c r="D5" s="706"/>
      <c r="E5" s="706"/>
      <c r="F5" s="706"/>
      <c r="G5" s="706"/>
    </row>
    <row r="6" spans="1:8" x14ac:dyDescent="0.25">
      <c r="A6" s="706" t="s">
        <v>684</v>
      </c>
      <c r="B6" s="706"/>
      <c r="C6" s="706"/>
      <c r="D6" s="706"/>
      <c r="E6" s="706"/>
      <c r="F6" s="706"/>
      <c r="G6" s="706"/>
    </row>
    <row r="7" spans="1:8" x14ac:dyDescent="0.25">
      <c r="A7" s="706" t="s">
        <v>28</v>
      </c>
      <c r="B7" s="706"/>
      <c r="C7" s="706"/>
      <c r="D7" s="706"/>
      <c r="E7" s="706"/>
      <c r="F7" s="706"/>
      <c r="G7" s="706"/>
    </row>
    <row r="8" spans="1:8" x14ac:dyDescent="0.25">
      <c r="A8" s="117"/>
      <c r="B8" s="117"/>
      <c r="C8" s="117"/>
      <c r="D8" s="318"/>
      <c r="E8" s="318"/>
      <c r="F8" s="117"/>
      <c r="G8" s="319"/>
    </row>
    <row r="9" spans="1:8" x14ac:dyDescent="0.25">
      <c r="A9" s="117"/>
      <c r="B9" s="117"/>
      <c r="C9" s="117"/>
      <c r="D9" s="318"/>
      <c r="E9" s="318"/>
      <c r="F9" s="117"/>
      <c r="G9" s="319"/>
    </row>
    <row r="10" spans="1:8" x14ac:dyDescent="0.25">
      <c r="A10" s="117"/>
      <c r="B10" s="117"/>
      <c r="C10" s="117"/>
      <c r="D10" s="318"/>
      <c r="E10" s="318"/>
      <c r="F10" s="117"/>
      <c r="G10" s="319"/>
    </row>
    <row r="11" spans="1:8" x14ac:dyDescent="0.25">
      <c r="A11" s="117"/>
      <c r="B11" s="117"/>
      <c r="C11" s="117"/>
      <c r="D11" s="318"/>
      <c r="E11" s="318"/>
      <c r="F11" s="117"/>
      <c r="G11" s="319"/>
    </row>
    <row r="12" spans="1:8" x14ac:dyDescent="0.25">
      <c r="A12" s="1"/>
    </row>
    <row r="13" spans="1:8" x14ac:dyDescent="0.25">
      <c r="A13" s="1"/>
      <c r="B13" s="113"/>
      <c r="C13" s="113"/>
      <c r="D13" s="323"/>
      <c r="F13" s="113"/>
      <c r="G13" s="324"/>
      <c r="H13" s="113"/>
    </row>
    <row r="14" spans="1:8" x14ac:dyDescent="0.25">
      <c r="A14" s="1"/>
      <c r="B14" s="325" t="s">
        <v>116</v>
      </c>
      <c r="C14" s="325"/>
      <c r="D14" s="323"/>
      <c r="F14" s="113"/>
      <c r="G14" s="324"/>
      <c r="H14" s="113"/>
    </row>
    <row r="15" spans="1:8" x14ac:dyDescent="0.25">
      <c r="A15" s="1"/>
      <c r="B15" s="113"/>
      <c r="C15" s="113"/>
      <c r="D15" s="323"/>
      <c r="F15" s="113"/>
      <c r="G15" s="324"/>
      <c r="H15" s="113"/>
    </row>
    <row r="16" spans="1:8" ht="128.25" customHeight="1" x14ac:dyDescent="0.25">
      <c r="A16" s="1"/>
      <c r="B16" s="718" t="s">
        <v>682</v>
      </c>
      <c r="C16" s="718"/>
      <c r="D16" s="718"/>
      <c r="E16" s="718"/>
      <c r="F16" s="718"/>
      <c r="G16" s="718"/>
      <c r="H16" s="113"/>
    </row>
    <row r="17" spans="1:8" x14ac:dyDescent="0.25">
      <c r="A17" s="1"/>
      <c r="B17" s="113"/>
      <c r="C17" s="113"/>
      <c r="D17" s="113"/>
      <c r="F17" s="113"/>
      <c r="G17" s="324"/>
      <c r="H17" s="326"/>
    </row>
    <row r="18" spans="1:8" x14ac:dyDescent="0.25">
      <c r="A18" s="1"/>
      <c r="B18" s="113"/>
      <c r="C18" s="113"/>
      <c r="D18" s="113"/>
      <c r="F18" s="113"/>
      <c r="G18" s="324"/>
      <c r="H18" s="326"/>
    </row>
    <row r="19" spans="1:8" x14ac:dyDescent="0.25">
      <c r="A19" s="1"/>
      <c r="B19" s="325" t="s">
        <v>117</v>
      </c>
      <c r="C19" s="325"/>
      <c r="D19" s="113"/>
      <c r="F19" s="113"/>
      <c r="G19" s="324"/>
      <c r="H19" s="326"/>
    </row>
    <row r="20" spans="1:8" x14ac:dyDescent="0.25">
      <c r="A20" s="1"/>
      <c r="B20" s="113"/>
      <c r="C20" s="113"/>
      <c r="D20" s="113"/>
      <c r="F20" s="113"/>
      <c r="G20" s="324"/>
      <c r="H20" s="326"/>
    </row>
    <row r="21" spans="1:8" ht="32.25" customHeight="1" x14ac:dyDescent="0.25">
      <c r="A21" s="1"/>
      <c r="B21" s="718" t="s">
        <v>118</v>
      </c>
      <c r="C21" s="718"/>
      <c r="D21" s="718"/>
      <c r="E21" s="718"/>
      <c r="F21" s="718"/>
      <c r="G21" s="718"/>
      <c r="H21" s="326"/>
    </row>
    <row r="22" spans="1:8" x14ac:dyDescent="0.25">
      <c r="A22" s="1"/>
      <c r="B22" s="327"/>
      <c r="C22" s="327"/>
      <c r="D22" s="323"/>
      <c r="F22" s="113"/>
      <c r="G22" s="324"/>
      <c r="H22" s="326"/>
    </row>
    <row r="23" spans="1:8" ht="46.5" customHeight="1" x14ac:dyDescent="0.25">
      <c r="A23" s="1"/>
      <c r="B23" s="718" t="s">
        <v>119</v>
      </c>
      <c r="C23" s="718"/>
      <c r="D23" s="736"/>
      <c r="E23" s="718"/>
      <c r="F23" s="718"/>
      <c r="G23" s="718"/>
      <c r="H23" s="326"/>
    </row>
    <row r="24" spans="1:8" x14ac:dyDescent="0.25">
      <c r="A24" s="1"/>
      <c r="B24" s="327"/>
      <c r="C24" s="327"/>
      <c r="D24" s="328"/>
      <c r="E24" s="329"/>
      <c r="F24" s="328"/>
      <c r="G24" s="330"/>
      <c r="H24" s="326"/>
    </row>
    <row r="25" spans="1:8" ht="90.75" customHeight="1" x14ac:dyDescent="0.25">
      <c r="A25" s="1"/>
      <c r="B25" s="718" t="s">
        <v>120</v>
      </c>
      <c r="C25" s="718"/>
      <c r="D25" s="718"/>
      <c r="E25" s="718"/>
      <c r="F25" s="718"/>
      <c r="G25" s="718"/>
      <c r="H25" s="326"/>
    </row>
    <row r="26" spans="1:8" x14ac:dyDescent="0.25">
      <c r="A26" s="1"/>
      <c r="B26" s="327"/>
      <c r="C26" s="327"/>
      <c r="D26" s="329"/>
      <c r="E26" s="329"/>
      <c r="F26" s="328"/>
      <c r="G26" s="330"/>
      <c r="H26" s="326"/>
    </row>
    <row r="27" spans="1:8" x14ac:dyDescent="0.25">
      <c r="A27" s="1"/>
      <c r="B27" s="4" t="s">
        <v>121</v>
      </c>
      <c r="C27" s="4"/>
      <c r="D27" s="329"/>
      <c r="E27" s="329"/>
      <c r="F27" s="328"/>
      <c r="G27" s="330"/>
      <c r="H27" s="326"/>
    </row>
    <row r="28" spans="1:8" x14ac:dyDescent="0.25">
      <c r="A28" s="1"/>
      <c r="B28" s="327"/>
      <c r="C28" s="327"/>
      <c r="D28" s="323"/>
      <c r="F28" s="113"/>
      <c r="G28" s="324"/>
      <c r="H28" s="326"/>
    </row>
    <row r="29" spans="1:8" ht="36" x14ac:dyDescent="0.25">
      <c r="A29" s="1"/>
      <c r="B29" s="331" t="s">
        <v>122</v>
      </c>
      <c r="C29" s="331"/>
      <c r="D29" s="332"/>
      <c r="F29" s="113"/>
      <c r="G29" s="324"/>
      <c r="H29" s="326"/>
    </row>
    <row r="30" spans="1:8" x14ac:dyDescent="0.25">
      <c r="A30" s="1"/>
      <c r="B30" s="327"/>
      <c r="C30" s="327"/>
      <c r="D30" s="332"/>
      <c r="F30" s="113"/>
      <c r="G30" s="324"/>
      <c r="H30" s="326"/>
    </row>
    <row r="31" spans="1:8" ht="42" customHeight="1" x14ac:dyDescent="0.25">
      <c r="A31" s="1"/>
      <c r="B31" s="718" t="s">
        <v>123</v>
      </c>
      <c r="C31" s="718"/>
      <c r="D31" s="736"/>
      <c r="E31" s="718"/>
      <c r="F31" s="718"/>
      <c r="G31" s="718"/>
      <c r="H31" s="326"/>
    </row>
    <row r="32" spans="1:8" x14ac:dyDescent="0.25">
      <c r="A32" s="1"/>
      <c r="B32" s="327"/>
      <c r="C32" s="327"/>
      <c r="D32" s="332"/>
      <c r="F32" s="113"/>
      <c r="G32" s="324"/>
      <c r="H32" s="326"/>
    </row>
    <row r="33" spans="1:8" x14ac:dyDescent="0.25">
      <c r="A33" s="1"/>
      <c r="B33" s="331" t="s">
        <v>124</v>
      </c>
      <c r="C33" s="331"/>
      <c r="D33" s="323"/>
      <c r="F33" s="113"/>
      <c r="G33" s="324"/>
      <c r="H33" s="326"/>
    </row>
    <row r="34" spans="1:8" x14ac:dyDescent="0.25">
      <c r="A34" s="1"/>
      <c r="B34" s="327"/>
      <c r="C34" s="327"/>
      <c r="D34" s="323"/>
      <c r="F34" s="113"/>
      <c r="G34" s="324"/>
      <c r="H34" s="113"/>
    </row>
    <row r="35" spans="1:8" ht="47.25" customHeight="1" x14ac:dyDescent="0.25">
      <c r="A35" s="1"/>
      <c r="B35" s="718" t="s">
        <v>125</v>
      </c>
      <c r="C35" s="718"/>
      <c r="D35" s="718"/>
      <c r="E35" s="718"/>
      <c r="F35" s="718"/>
      <c r="G35" s="718"/>
      <c r="H35" s="113"/>
    </row>
    <row r="36" spans="1:8" x14ac:dyDescent="0.25">
      <c r="A36" s="1"/>
      <c r="B36" s="327"/>
      <c r="C36" s="327"/>
      <c r="D36" s="332"/>
      <c r="F36" s="113"/>
      <c r="G36" s="324"/>
      <c r="H36" s="113"/>
    </row>
    <row r="37" spans="1:8" ht="45" customHeight="1" x14ac:dyDescent="0.25">
      <c r="A37" s="1"/>
      <c r="B37" s="718" t="s">
        <v>126</v>
      </c>
      <c r="C37" s="718"/>
      <c r="D37" s="718"/>
      <c r="E37" s="718"/>
      <c r="F37" s="718"/>
      <c r="G37" s="718"/>
      <c r="H37" s="113"/>
    </row>
    <row r="38" spans="1:8" x14ac:dyDescent="0.25">
      <c r="A38" s="1"/>
      <c r="B38" s="328"/>
      <c r="C38" s="328"/>
      <c r="D38" s="329"/>
      <c r="E38" s="333"/>
      <c r="F38" s="334"/>
      <c r="G38" s="335"/>
      <c r="H38" s="113"/>
    </row>
    <row r="39" spans="1:8" x14ac:dyDescent="0.25">
      <c r="A39" s="1"/>
      <c r="B39" s="331" t="s">
        <v>127</v>
      </c>
      <c r="C39" s="331"/>
      <c r="D39" s="323"/>
      <c r="F39" s="113"/>
      <c r="G39" s="324"/>
      <c r="H39" s="113"/>
    </row>
    <row r="40" spans="1:8" x14ac:dyDescent="0.25">
      <c r="A40" s="1"/>
      <c r="B40" s="331"/>
      <c r="C40" s="331"/>
      <c r="D40" s="323"/>
      <c r="F40" s="113"/>
      <c r="G40" s="324"/>
      <c r="H40" s="113"/>
    </row>
    <row r="41" spans="1:8" x14ac:dyDescent="0.25">
      <c r="A41" s="1"/>
      <c r="B41" s="4" t="s">
        <v>128</v>
      </c>
      <c r="C41" s="4"/>
      <c r="D41" s="323"/>
      <c r="F41" s="113"/>
      <c r="G41" s="324"/>
      <c r="H41" s="113"/>
    </row>
    <row r="42" spans="1:8" ht="45" customHeight="1" x14ac:dyDescent="0.25">
      <c r="A42" s="1"/>
      <c r="B42" s="718" t="s">
        <v>129</v>
      </c>
      <c r="C42" s="718"/>
      <c r="D42" s="718"/>
      <c r="E42" s="718"/>
      <c r="F42" s="718"/>
      <c r="G42" s="718"/>
      <c r="H42" s="113"/>
    </row>
    <row r="43" spans="1:8" x14ac:dyDescent="0.25">
      <c r="A43" s="1"/>
      <c r="B43" s="113"/>
      <c r="C43" s="113"/>
      <c r="D43" s="323"/>
      <c r="F43" s="113"/>
      <c r="G43" s="324"/>
      <c r="H43" s="113"/>
    </row>
    <row r="44" spans="1:8" ht="36" x14ac:dyDescent="0.25">
      <c r="A44" s="1"/>
      <c r="B44" s="331" t="s">
        <v>130</v>
      </c>
      <c r="C44" s="331"/>
      <c r="D44" s="323"/>
      <c r="F44" s="113"/>
      <c r="G44" s="324"/>
      <c r="H44" s="113"/>
    </row>
    <row r="45" spans="1:8" x14ac:dyDescent="0.25">
      <c r="A45" s="1"/>
      <c r="B45" s="113"/>
      <c r="C45" s="113"/>
      <c r="D45" s="323"/>
      <c r="F45" s="113"/>
      <c r="G45" s="324"/>
      <c r="H45" s="113"/>
    </row>
    <row r="46" spans="1:8" ht="14.25" customHeight="1" x14ac:dyDescent="0.25">
      <c r="A46" s="1"/>
      <c r="B46" s="737" t="s">
        <v>131</v>
      </c>
      <c r="C46" s="737"/>
      <c r="D46" s="737"/>
      <c r="E46" s="737"/>
      <c r="F46" s="737"/>
      <c r="G46" s="737"/>
      <c r="H46" s="113"/>
    </row>
    <row r="47" spans="1:8" x14ac:dyDescent="0.25">
      <c r="A47" s="1"/>
      <c r="B47" s="737"/>
      <c r="C47" s="737"/>
      <c r="D47" s="737"/>
      <c r="E47" s="737"/>
      <c r="F47" s="737"/>
      <c r="G47" s="737"/>
      <c r="H47" s="113"/>
    </row>
    <row r="48" spans="1:8" ht="22.5" customHeight="1" x14ac:dyDescent="0.25">
      <c r="A48" s="1"/>
      <c r="B48" s="737"/>
      <c r="C48" s="737"/>
      <c r="D48" s="737"/>
      <c r="E48" s="737"/>
      <c r="F48" s="737"/>
      <c r="G48" s="737"/>
      <c r="H48" s="113"/>
    </row>
    <row r="49" spans="1:8" x14ac:dyDescent="0.25">
      <c r="A49" s="1"/>
      <c r="B49" s="334"/>
      <c r="C49" s="334"/>
      <c r="D49" s="333"/>
      <c r="E49" s="333"/>
      <c r="F49" s="334"/>
      <c r="G49" s="335"/>
      <c r="H49" s="113"/>
    </row>
    <row r="50" spans="1:8" x14ac:dyDescent="0.25">
      <c r="A50" s="1"/>
      <c r="B50" s="325" t="s">
        <v>132</v>
      </c>
      <c r="C50" s="325"/>
      <c r="D50" s="323"/>
      <c r="F50" s="113"/>
      <c r="G50" s="324"/>
      <c r="H50" s="113"/>
    </row>
    <row r="51" spans="1:8" x14ac:dyDescent="0.25">
      <c r="A51" s="1"/>
      <c r="B51" s="113"/>
      <c r="C51" s="113"/>
      <c r="D51" s="323"/>
      <c r="F51" s="113"/>
      <c r="G51" s="324"/>
      <c r="H51" s="113"/>
    </row>
    <row r="52" spans="1:8" ht="14.25" customHeight="1" x14ac:dyDescent="0.25">
      <c r="A52" s="1"/>
      <c r="B52" s="732" t="s">
        <v>133</v>
      </c>
      <c r="C52" s="732"/>
      <c r="D52" s="732"/>
      <c r="E52" s="732"/>
      <c r="F52" s="732"/>
      <c r="G52" s="732"/>
      <c r="H52" s="113"/>
    </row>
    <row r="53" spans="1:8" x14ac:dyDescent="0.25">
      <c r="A53" s="1"/>
      <c r="B53" s="732"/>
      <c r="C53" s="732"/>
      <c r="D53" s="732"/>
      <c r="E53" s="732"/>
      <c r="F53" s="732"/>
      <c r="G53" s="732"/>
      <c r="H53" s="113"/>
    </row>
    <row r="54" spans="1:8" x14ac:dyDescent="0.25">
      <c r="A54" s="1"/>
      <c r="B54" s="334"/>
      <c r="C54" s="334"/>
      <c r="D54" s="333"/>
      <c r="E54" s="333"/>
      <c r="F54" s="334"/>
      <c r="G54" s="335"/>
      <c r="H54" s="113"/>
    </row>
    <row r="55" spans="1:8" x14ac:dyDescent="0.25">
      <c r="A55" s="1"/>
      <c r="B55" s="325" t="s">
        <v>134</v>
      </c>
      <c r="C55" s="325"/>
      <c r="D55" s="323"/>
      <c r="F55" s="113"/>
      <c r="G55" s="324"/>
      <c r="H55" s="113"/>
    </row>
    <row r="56" spans="1:8" x14ac:dyDescent="0.25">
      <c r="A56" s="1"/>
      <c r="B56" s="113"/>
      <c r="C56" s="113"/>
      <c r="D56" s="323"/>
      <c r="F56" s="113"/>
      <c r="G56" s="324"/>
      <c r="H56" s="113"/>
    </row>
    <row r="57" spans="1:8" ht="14.25" customHeight="1" x14ac:dyDescent="0.25">
      <c r="A57" s="1"/>
      <c r="B57" s="718" t="s">
        <v>135</v>
      </c>
      <c r="C57" s="718"/>
      <c r="D57" s="718"/>
      <c r="E57" s="718"/>
      <c r="F57" s="718"/>
      <c r="G57" s="718"/>
      <c r="H57" s="113"/>
    </row>
    <row r="58" spans="1:8" ht="52.5" customHeight="1" x14ac:dyDescent="0.25">
      <c r="A58" s="1"/>
      <c r="B58" s="718"/>
      <c r="C58" s="718"/>
      <c r="D58" s="718"/>
      <c r="E58" s="718"/>
      <c r="F58" s="718"/>
      <c r="G58" s="718"/>
      <c r="H58" s="113"/>
    </row>
    <row r="59" spans="1:8" ht="44.25" customHeight="1" x14ac:dyDescent="0.25">
      <c r="A59" s="1"/>
      <c r="B59" s="732" t="s">
        <v>136</v>
      </c>
      <c r="C59" s="732"/>
      <c r="D59" s="732"/>
      <c r="E59" s="732"/>
      <c r="F59" s="732"/>
      <c r="G59" s="732"/>
      <c r="H59" s="732"/>
    </row>
    <row r="60" spans="1:8" ht="21.75" customHeight="1" x14ac:dyDescent="0.25">
      <c r="A60" s="1"/>
      <c r="B60" s="113"/>
      <c r="C60" s="113"/>
      <c r="D60" s="323"/>
      <c r="F60" s="113"/>
      <c r="G60" s="324"/>
      <c r="H60" s="113"/>
    </row>
    <row r="61" spans="1:8" x14ac:dyDescent="0.25">
      <c r="A61" s="1"/>
      <c r="B61" s="325" t="s">
        <v>137</v>
      </c>
      <c r="C61" s="325"/>
      <c r="D61" s="323"/>
      <c r="F61" s="113"/>
      <c r="G61" s="324"/>
      <c r="H61" s="113"/>
    </row>
    <row r="62" spans="1:8" x14ac:dyDescent="0.25">
      <c r="A62" s="1"/>
      <c r="B62" s="113"/>
      <c r="C62" s="113"/>
      <c r="D62" s="323"/>
      <c r="F62" s="113"/>
      <c r="G62" s="324"/>
      <c r="H62" s="113"/>
    </row>
    <row r="63" spans="1:8" ht="14.25" customHeight="1" x14ac:dyDescent="0.25">
      <c r="A63" s="1"/>
      <c r="B63" s="732" t="s">
        <v>138</v>
      </c>
      <c r="C63" s="732"/>
      <c r="D63" s="732"/>
      <c r="E63" s="732"/>
      <c r="F63" s="732"/>
      <c r="G63" s="732"/>
      <c r="H63" s="113"/>
    </row>
    <row r="64" spans="1:8" x14ac:dyDescent="0.25">
      <c r="A64" s="1"/>
      <c r="B64" s="732"/>
      <c r="C64" s="732"/>
      <c r="D64" s="732"/>
      <c r="E64" s="732"/>
      <c r="F64" s="732"/>
      <c r="G64" s="732"/>
      <c r="H64" s="113"/>
    </row>
    <row r="65" spans="1:8" x14ac:dyDescent="0.25">
      <c r="A65" s="1"/>
      <c r="B65" s="113"/>
      <c r="C65" s="113"/>
      <c r="D65" s="323"/>
      <c r="F65" s="113"/>
      <c r="G65" s="324"/>
      <c r="H65" s="113"/>
    </row>
    <row r="66" spans="1:8" x14ac:dyDescent="0.25">
      <c r="A66" s="1"/>
      <c r="B66" s="325" t="s">
        <v>139</v>
      </c>
      <c r="C66" s="325"/>
      <c r="D66" s="323"/>
      <c r="F66" s="113"/>
      <c r="G66" s="324"/>
      <c r="H66" s="113"/>
    </row>
    <row r="67" spans="1:8" x14ac:dyDescent="0.25">
      <c r="A67" s="1"/>
      <c r="B67" s="113"/>
      <c r="C67" s="113"/>
      <c r="D67" s="323"/>
      <c r="F67" s="113"/>
      <c r="G67" s="324"/>
      <c r="H67" s="113"/>
    </row>
    <row r="68" spans="1:8" ht="14.25" customHeight="1" x14ac:dyDescent="0.25">
      <c r="A68" s="1"/>
      <c r="B68" s="732" t="s">
        <v>140</v>
      </c>
      <c r="C68" s="732"/>
      <c r="D68" s="732"/>
      <c r="E68" s="732"/>
      <c r="F68" s="732"/>
      <c r="G68" s="732"/>
      <c r="H68" s="113"/>
    </row>
    <row r="69" spans="1:8" x14ac:dyDescent="0.25">
      <c r="A69" s="1"/>
      <c r="B69" s="732"/>
      <c r="C69" s="732"/>
      <c r="D69" s="732"/>
      <c r="E69" s="732"/>
      <c r="F69" s="732"/>
      <c r="G69" s="732"/>
      <c r="H69" s="113"/>
    </row>
    <row r="70" spans="1:8" x14ac:dyDescent="0.25">
      <c r="A70" s="1"/>
      <c r="B70" s="113"/>
      <c r="C70" s="113"/>
      <c r="D70" s="323"/>
      <c r="F70" s="113"/>
      <c r="G70" s="324"/>
      <c r="H70" s="113"/>
    </row>
    <row r="71" spans="1:8" x14ac:dyDescent="0.25">
      <c r="A71" s="1"/>
      <c r="B71" s="325" t="s">
        <v>141</v>
      </c>
      <c r="C71" s="325"/>
      <c r="D71" s="323"/>
      <c r="F71" s="113"/>
      <c r="G71" s="324"/>
      <c r="H71" s="113"/>
    </row>
    <row r="72" spans="1:8" x14ac:dyDescent="0.25">
      <c r="A72" s="1"/>
      <c r="B72" s="113"/>
      <c r="C72" s="113"/>
      <c r="D72" s="323"/>
      <c r="F72" s="113"/>
      <c r="G72" s="324"/>
      <c r="H72" s="113"/>
    </row>
    <row r="73" spans="1:8" ht="14.25" customHeight="1" x14ac:dyDescent="0.25">
      <c r="A73" s="1"/>
      <c r="B73" s="732" t="s">
        <v>142</v>
      </c>
      <c r="C73" s="732"/>
      <c r="D73" s="732"/>
      <c r="E73" s="732"/>
      <c r="F73" s="732"/>
      <c r="G73" s="732"/>
      <c r="H73" s="113"/>
    </row>
    <row r="74" spans="1:8" x14ac:dyDescent="0.25">
      <c r="A74" s="1"/>
      <c r="B74" s="732"/>
      <c r="C74" s="732"/>
      <c r="D74" s="732"/>
      <c r="E74" s="732"/>
      <c r="F74" s="732"/>
      <c r="G74" s="732"/>
      <c r="H74" s="113"/>
    </row>
    <row r="75" spans="1:8" ht="39" customHeight="1" x14ac:dyDescent="0.25">
      <c r="A75" s="1"/>
      <c r="B75" s="732" t="s">
        <v>143</v>
      </c>
      <c r="C75" s="732"/>
      <c r="D75" s="732"/>
      <c r="E75" s="732"/>
      <c r="F75" s="732"/>
      <c r="G75" s="732"/>
      <c r="H75" s="113"/>
    </row>
    <row r="76" spans="1:8" x14ac:dyDescent="0.25">
      <c r="A76" s="1"/>
      <c r="B76" s="113"/>
      <c r="C76" s="113"/>
      <c r="D76" s="323"/>
      <c r="F76" s="113"/>
      <c r="G76" s="324"/>
      <c r="H76" s="113"/>
    </row>
    <row r="77" spans="1:8" x14ac:dyDescent="0.25">
      <c r="A77" s="1"/>
      <c r="B77" s="325" t="s">
        <v>144</v>
      </c>
      <c r="C77" s="325"/>
      <c r="D77" s="323"/>
      <c r="F77" s="113"/>
      <c r="G77" s="324"/>
      <c r="H77" s="113"/>
    </row>
    <row r="78" spans="1:8" x14ac:dyDescent="0.25">
      <c r="A78" s="1"/>
      <c r="B78" s="113"/>
      <c r="C78" s="113"/>
      <c r="D78" s="323"/>
      <c r="F78" s="113"/>
      <c r="G78" s="324"/>
      <c r="H78" s="113"/>
    </row>
    <row r="79" spans="1:8" ht="14.25" customHeight="1" x14ac:dyDescent="0.25">
      <c r="A79" s="1"/>
      <c r="B79" s="732" t="s">
        <v>145</v>
      </c>
      <c r="C79" s="732"/>
      <c r="D79" s="732"/>
      <c r="E79" s="732"/>
      <c r="F79" s="732"/>
      <c r="G79" s="732"/>
      <c r="H79" s="113"/>
    </row>
    <row r="80" spans="1:8" x14ac:dyDescent="0.25">
      <c r="A80" s="1"/>
      <c r="B80" s="732"/>
      <c r="C80" s="732"/>
      <c r="D80" s="732"/>
      <c r="E80" s="732"/>
      <c r="F80" s="732"/>
      <c r="G80" s="732"/>
      <c r="H80" s="113"/>
    </row>
    <row r="81" spans="1:10" x14ac:dyDescent="0.25">
      <c r="A81" s="1"/>
      <c r="B81" s="113"/>
      <c r="C81" s="113"/>
      <c r="D81" s="323"/>
      <c r="F81" s="113"/>
      <c r="G81" s="324"/>
      <c r="H81" s="113"/>
    </row>
    <row r="82" spans="1:10" x14ac:dyDescent="0.25">
      <c r="A82" s="1"/>
      <c r="B82" s="113" t="s">
        <v>146</v>
      </c>
      <c r="C82" s="113"/>
      <c r="D82" s="323"/>
      <c r="F82" s="113"/>
      <c r="G82" s="324"/>
      <c r="H82" s="113"/>
    </row>
    <row r="83" spans="1:10" x14ac:dyDescent="0.25">
      <c r="A83" s="1"/>
      <c r="B83" s="113"/>
      <c r="C83" s="113"/>
      <c r="D83" s="323"/>
      <c r="F83" s="113"/>
      <c r="G83" s="324"/>
      <c r="H83" s="113"/>
    </row>
    <row r="84" spans="1:10" x14ac:dyDescent="0.25">
      <c r="A84" s="1"/>
      <c r="B84" s="113"/>
      <c r="C84" s="113"/>
      <c r="D84" s="323"/>
      <c r="F84" s="113"/>
      <c r="G84" s="324"/>
      <c r="H84" s="113"/>
    </row>
    <row r="85" spans="1:10" x14ac:dyDescent="0.25">
      <c r="A85" s="1"/>
      <c r="B85" s="325" t="s">
        <v>147</v>
      </c>
      <c r="C85" s="325"/>
      <c r="D85" s="323"/>
      <c r="F85" s="113"/>
      <c r="G85" s="324"/>
      <c r="H85" s="113"/>
    </row>
    <row r="86" spans="1:10" x14ac:dyDescent="0.25">
      <c r="A86" s="1"/>
      <c r="B86" s="113"/>
      <c r="C86" s="113"/>
      <c r="D86" s="323"/>
      <c r="F86" s="113"/>
      <c r="G86" s="324"/>
      <c r="H86" s="113"/>
    </row>
    <row r="87" spans="1:10" x14ac:dyDescent="0.25">
      <c r="A87" s="1"/>
      <c r="B87" s="113" t="s">
        <v>148</v>
      </c>
      <c r="C87" s="113"/>
      <c r="D87" s="323"/>
      <c r="F87" s="113"/>
      <c r="G87" s="324"/>
      <c r="H87" s="113"/>
    </row>
    <row r="88" spans="1:10" x14ac:dyDescent="0.25">
      <c r="A88" s="1"/>
      <c r="B88" s="113"/>
      <c r="C88" s="113"/>
      <c r="D88" s="323"/>
      <c r="F88" s="113"/>
      <c r="G88" s="324"/>
      <c r="H88" s="113"/>
    </row>
    <row r="89" spans="1:10" x14ac:dyDescent="0.25">
      <c r="A89" s="1"/>
      <c r="B89" s="325" t="s">
        <v>149</v>
      </c>
      <c r="C89" s="325"/>
      <c r="D89" s="323"/>
      <c r="F89" s="113"/>
      <c r="G89" s="324"/>
      <c r="H89" s="113"/>
    </row>
    <row r="90" spans="1:10" x14ac:dyDescent="0.25">
      <c r="A90" s="1"/>
      <c r="B90" s="716" t="s">
        <v>150</v>
      </c>
      <c r="C90" s="716"/>
      <c r="D90" s="716"/>
      <c r="E90" s="716"/>
      <c r="F90" s="716"/>
      <c r="G90" s="716"/>
    </row>
    <row r="91" spans="1:10" s="10" customFormat="1" ht="30.75" customHeight="1" x14ac:dyDescent="0.25">
      <c r="B91" s="716"/>
      <c r="C91" s="716"/>
      <c r="D91" s="716"/>
      <c r="E91" s="716"/>
      <c r="F91" s="716"/>
      <c r="G91" s="716"/>
      <c r="I91" s="337"/>
      <c r="J91" s="338"/>
    </row>
    <row r="92" spans="1:10" x14ac:dyDescent="0.25">
      <c r="A92" s="1"/>
    </row>
    <row r="93" spans="1:10" x14ac:dyDescent="0.25">
      <c r="A93" s="1"/>
      <c r="B93" s="199" t="s">
        <v>151</v>
      </c>
      <c r="C93" s="199"/>
    </row>
    <row r="94" spans="1:10" x14ac:dyDescent="0.25">
      <c r="A94" s="1"/>
    </row>
    <row r="95" spans="1:10" x14ac:dyDescent="0.25">
      <c r="A95" s="1"/>
      <c r="B95" s="110" t="s">
        <v>152</v>
      </c>
    </row>
    <row r="96" spans="1:10" x14ac:dyDescent="0.25">
      <c r="A96" s="1"/>
    </row>
    <row r="97" spans="1:7" x14ac:dyDescent="0.25">
      <c r="A97" s="1"/>
    </row>
    <row r="98" spans="1:7" ht="17.25" customHeight="1" x14ac:dyDescent="0.25">
      <c r="A98" s="1"/>
      <c r="B98" s="196" t="s">
        <v>153</v>
      </c>
      <c r="C98" s="196"/>
    </row>
    <row r="99" spans="1:7" ht="17.25" customHeight="1" x14ac:dyDescent="0.25">
      <c r="A99" s="1"/>
      <c r="B99" s="196"/>
      <c r="C99" s="196"/>
    </row>
    <row r="100" spans="1:7" x14ac:dyDescent="0.25">
      <c r="A100" s="1"/>
      <c r="B100" s="196" t="s">
        <v>154</v>
      </c>
      <c r="C100" s="196"/>
    </row>
    <row r="101" spans="1:7" x14ac:dyDescent="0.25">
      <c r="A101" s="1"/>
      <c r="B101" s="196"/>
      <c r="C101" s="196"/>
    </row>
    <row r="102" spans="1:7" x14ac:dyDescent="0.25">
      <c r="A102" s="1"/>
      <c r="D102" s="339">
        <v>2022</v>
      </c>
      <c r="E102" s="339">
        <v>2021</v>
      </c>
      <c r="F102" s="340" t="s">
        <v>34</v>
      </c>
      <c r="G102" s="341" t="s">
        <v>155</v>
      </c>
    </row>
    <row r="103" spans="1:7" ht="36" x14ac:dyDescent="0.25">
      <c r="A103" s="1"/>
      <c r="B103" s="342" t="s">
        <v>156</v>
      </c>
      <c r="C103" s="342"/>
      <c r="D103" s="343">
        <v>13731133.090500005</v>
      </c>
      <c r="E103" s="321">
        <v>13163600.746551655</v>
      </c>
      <c r="F103" s="344">
        <f t="shared" ref="F103:F108" si="0">+D103-E103</f>
        <v>567532.34394834936</v>
      </c>
      <c r="G103" s="322">
        <f>+D103/E103-1</f>
        <v>4.3113761566873743E-2</v>
      </c>
    </row>
    <row r="104" spans="1:7" ht="36" x14ac:dyDescent="0.25">
      <c r="A104" s="1"/>
      <c r="B104" s="345" t="s">
        <v>157</v>
      </c>
      <c r="C104" s="345"/>
      <c r="D104" s="343">
        <v>435587.24250000017</v>
      </c>
      <c r="E104" s="321">
        <v>1197978.1500000039</v>
      </c>
      <c r="F104" s="344">
        <f t="shared" si="0"/>
        <v>-762390.9075000037</v>
      </c>
      <c r="G104" s="322">
        <f>+D104/E104-1</f>
        <v>-0.63639800734262242</v>
      </c>
    </row>
    <row r="105" spans="1:7" ht="36" x14ac:dyDescent="0.25">
      <c r="A105" s="1"/>
      <c r="B105" s="346" t="s">
        <v>158</v>
      </c>
      <c r="C105" s="346"/>
      <c r="D105" s="343">
        <v>768152.91249999776</v>
      </c>
      <c r="E105" s="321">
        <v>9150834.9578349441</v>
      </c>
      <c r="F105" s="344">
        <f t="shared" si="0"/>
        <v>-8382682.0453349464</v>
      </c>
      <c r="G105" s="322">
        <f>+D105/E105-1</f>
        <v>-0.91605652205077692</v>
      </c>
    </row>
    <row r="106" spans="1:7" ht="36" x14ac:dyDescent="0.25">
      <c r="A106" s="1"/>
      <c r="B106" s="347" t="s">
        <v>159</v>
      </c>
      <c r="C106" s="347"/>
      <c r="D106" s="321">
        <v>337556.10600000003</v>
      </c>
      <c r="E106" s="321">
        <v>1411264.28</v>
      </c>
      <c r="F106" s="344">
        <f t="shared" si="0"/>
        <v>-1073708.1740000001</v>
      </c>
      <c r="G106" s="322">
        <v>1</v>
      </c>
    </row>
    <row r="107" spans="1:7" x14ac:dyDescent="0.25">
      <c r="A107" s="1"/>
      <c r="B107" s="342" t="s">
        <v>160</v>
      </c>
      <c r="C107" s="342"/>
      <c r="D107" s="343">
        <v>70000</v>
      </c>
      <c r="E107" s="321">
        <v>874.5399999999936</v>
      </c>
      <c r="F107" s="344">
        <f>+D107-E107</f>
        <v>69125.460000000006</v>
      </c>
      <c r="G107" s="322">
        <v>0</v>
      </c>
    </row>
    <row r="108" spans="1:7" x14ac:dyDescent="0.25">
      <c r="A108" s="1"/>
      <c r="B108" s="342" t="s">
        <v>161</v>
      </c>
      <c r="C108" s="342"/>
      <c r="D108" s="343">
        <v>9000</v>
      </c>
      <c r="E108" s="321">
        <v>9000</v>
      </c>
      <c r="F108" s="344">
        <f t="shared" si="0"/>
        <v>0</v>
      </c>
      <c r="G108" s="322">
        <f>+D108/E108-1</f>
        <v>0</v>
      </c>
    </row>
    <row r="109" spans="1:7" x14ac:dyDescent="0.25">
      <c r="A109" s="1"/>
      <c r="B109" s="196" t="s">
        <v>162</v>
      </c>
      <c r="C109" s="196"/>
      <c r="D109" s="348">
        <f>SUM(D103:D108)</f>
        <v>15351429.351500003</v>
      </c>
      <c r="E109" s="349">
        <f>SUM(E103:E108)</f>
        <v>24933552.674386606</v>
      </c>
      <c r="F109" s="350">
        <f>SUM(F103:F108)</f>
        <v>-9582123.3228866011</v>
      </c>
      <c r="G109" s="351">
        <f>+D109/E109-1</f>
        <v>-0.38430637815725288</v>
      </c>
    </row>
    <row r="110" spans="1:7" x14ac:dyDescent="0.25">
      <c r="A110" s="1"/>
      <c r="B110" s="196"/>
      <c r="C110" s="196"/>
      <c r="D110" s="352">
        <v>0</v>
      </c>
      <c r="E110" s="353"/>
      <c r="F110" s="354"/>
      <c r="G110" s="355"/>
    </row>
    <row r="111" spans="1:7" ht="14.25" customHeight="1" x14ac:dyDescent="0.25">
      <c r="A111" s="1"/>
      <c r="B111" s="733" t="s">
        <v>163</v>
      </c>
      <c r="C111" s="733"/>
      <c r="D111" s="733"/>
      <c r="E111" s="733"/>
      <c r="F111" s="733"/>
      <c r="G111" s="733"/>
    </row>
    <row r="112" spans="1:7" ht="34.5" customHeight="1" x14ac:dyDescent="0.25">
      <c r="A112" s="1"/>
      <c r="B112" s="733"/>
      <c r="C112" s="733"/>
      <c r="D112" s="733"/>
      <c r="E112" s="733"/>
      <c r="F112" s="733"/>
      <c r="G112" s="733"/>
    </row>
    <row r="113" spans="1:9" x14ac:dyDescent="0.25">
      <c r="A113" s="1"/>
      <c r="B113" s="734" t="s">
        <v>164</v>
      </c>
      <c r="C113" s="734"/>
      <c r="D113" s="734"/>
      <c r="E113" s="734"/>
      <c r="F113" s="734"/>
      <c r="G113" s="734"/>
    </row>
    <row r="114" spans="1:9" x14ac:dyDescent="0.25">
      <c r="A114" s="1"/>
      <c r="B114" s="734"/>
      <c r="C114" s="734"/>
      <c r="D114" s="734"/>
      <c r="E114" s="734"/>
      <c r="F114" s="734"/>
      <c r="G114" s="734"/>
    </row>
    <row r="115" spans="1:9" ht="2.25" customHeight="1" x14ac:dyDescent="0.25">
      <c r="A115" s="1"/>
      <c r="B115" s="734"/>
      <c r="C115" s="734"/>
      <c r="D115" s="734"/>
      <c r="E115" s="734"/>
      <c r="F115" s="734"/>
      <c r="G115" s="734"/>
    </row>
    <row r="116" spans="1:9" ht="14.25" hidden="1" customHeight="1" x14ac:dyDescent="0.25">
      <c r="A116" s="1"/>
      <c r="B116" s="735" t="s">
        <v>165</v>
      </c>
      <c r="C116" s="735"/>
      <c r="D116" s="735"/>
      <c r="E116" s="735"/>
      <c r="F116" s="735"/>
      <c r="G116" s="735"/>
    </row>
    <row r="117" spans="1:9" ht="77.25" hidden="1" customHeight="1" x14ac:dyDescent="0.25">
      <c r="A117" s="1"/>
      <c r="B117" s="735"/>
      <c r="C117" s="735"/>
      <c r="D117" s="735"/>
      <c r="E117" s="735"/>
      <c r="F117" s="735"/>
      <c r="G117" s="735"/>
      <c r="I117" s="356" t="s">
        <v>166</v>
      </c>
    </row>
    <row r="118" spans="1:9" ht="13.5" customHeight="1" x14ac:dyDescent="0.25">
      <c r="A118" s="1"/>
      <c r="B118" s="357"/>
      <c r="C118" s="357"/>
      <c r="D118" s="358"/>
      <c r="E118" s="358"/>
      <c r="F118" s="357"/>
      <c r="G118" s="359"/>
    </row>
    <row r="119" spans="1:9" hidden="1" x14ac:dyDescent="0.25">
      <c r="A119" s="1"/>
      <c r="B119" s="726"/>
      <c r="C119" s="726"/>
      <c r="D119" s="726"/>
      <c r="E119" s="726"/>
      <c r="F119" s="726"/>
      <c r="G119" s="726"/>
    </row>
    <row r="120" spans="1:9" hidden="1" x14ac:dyDescent="0.25">
      <c r="A120" s="1"/>
      <c r="B120" s="726"/>
      <c r="C120" s="726"/>
      <c r="D120" s="726"/>
      <c r="E120" s="726"/>
      <c r="F120" s="726"/>
      <c r="G120" s="726"/>
    </row>
    <row r="121" spans="1:9" hidden="1" x14ac:dyDescent="0.25">
      <c r="A121" s="1"/>
    </row>
    <row r="122" spans="1:9" x14ac:dyDescent="0.25">
      <c r="A122" s="1"/>
    </row>
    <row r="123" spans="1:9" x14ac:dyDescent="0.25">
      <c r="A123" s="1"/>
      <c r="B123" s="196" t="s">
        <v>167</v>
      </c>
      <c r="C123" s="196"/>
    </row>
    <row r="124" spans="1:9" x14ac:dyDescent="0.25">
      <c r="A124" s="1"/>
      <c r="B124" s="196"/>
      <c r="C124" s="196"/>
    </row>
    <row r="125" spans="1:9" x14ac:dyDescent="0.25">
      <c r="A125" s="1"/>
      <c r="B125" s="712" t="s">
        <v>683</v>
      </c>
      <c r="C125" s="712"/>
      <c r="D125" s="712"/>
      <c r="E125" s="712"/>
      <c r="F125" s="712"/>
      <c r="G125" s="712"/>
    </row>
    <row r="126" spans="1:9" x14ac:dyDescent="0.25">
      <c r="A126" s="1"/>
      <c r="B126" s="712"/>
      <c r="C126" s="712"/>
      <c r="D126" s="712"/>
      <c r="E126" s="712"/>
      <c r="F126" s="712"/>
      <c r="G126" s="712"/>
    </row>
    <row r="127" spans="1:9" ht="6" customHeight="1" x14ac:dyDescent="0.25">
      <c r="A127" s="1"/>
      <c r="B127" s="712"/>
      <c r="C127" s="712"/>
      <c r="D127" s="712"/>
      <c r="E127" s="712"/>
      <c r="F127" s="712"/>
      <c r="G127" s="712"/>
    </row>
    <row r="128" spans="1:9" ht="4.5" customHeight="1" x14ac:dyDescent="0.25">
      <c r="A128" s="1"/>
      <c r="B128" s="712"/>
      <c r="C128" s="712"/>
      <c r="D128" s="712"/>
      <c r="E128" s="712"/>
      <c r="F128" s="712"/>
      <c r="G128" s="712"/>
    </row>
    <row r="129" spans="1:10" x14ac:dyDescent="0.25">
      <c r="A129" s="1"/>
      <c r="B129" s="196"/>
      <c r="C129" s="196"/>
    </row>
    <row r="130" spans="1:10" x14ac:dyDescent="0.25">
      <c r="A130" s="1"/>
      <c r="D130" s="339">
        <v>2022</v>
      </c>
      <c r="E130" s="339">
        <v>2021</v>
      </c>
      <c r="F130" s="340" t="s">
        <v>34</v>
      </c>
      <c r="G130" s="341" t="s">
        <v>155</v>
      </c>
    </row>
    <row r="131" spans="1:10" x14ac:dyDescent="0.25">
      <c r="A131" s="1"/>
      <c r="B131" s="360" t="s">
        <v>168</v>
      </c>
      <c r="C131" s="360"/>
      <c r="D131" s="323">
        <v>128636292.63999996</v>
      </c>
      <c r="E131" s="321">
        <v>132486775.74972124</v>
      </c>
      <c r="F131" s="344">
        <f>+D131-E131</f>
        <v>-3850483.1097212881</v>
      </c>
      <c r="G131" s="322">
        <f>+D131/E131-1</f>
        <v>-2.9063150551683514E-2</v>
      </c>
      <c r="H131" s="344"/>
    </row>
    <row r="132" spans="1:10" x14ac:dyDescent="0.25">
      <c r="A132" s="1"/>
      <c r="B132" s="360" t="s">
        <v>169</v>
      </c>
      <c r="C132" s="361"/>
      <c r="D132" s="323">
        <v>988129.57</v>
      </c>
      <c r="E132" s="321">
        <v>1138509.21</v>
      </c>
      <c r="F132" s="344">
        <v>0</v>
      </c>
      <c r="G132" s="322">
        <f t="shared" ref="G132:G145" si="1">+D132/E132-1</f>
        <v>-0.13208469345627871</v>
      </c>
      <c r="H132" s="344"/>
    </row>
    <row r="133" spans="1:10" ht="19.5" x14ac:dyDescent="0.25">
      <c r="A133" s="1"/>
      <c r="B133" s="360" t="s">
        <v>170</v>
      </c>
      <c r="C133" s="360"/>
      <c r="D133" s="323">
        <v>374655.91999999993</v>
      </c>
      <c r="E133" s="321">
        <v>225467.26823529409</v>
      </c>
      <c r="F133" s="344">
        <f t="shared" ref="F133:F145" si="2">+D133-E133</f>
        <v>149188.65176470584</v>
      </c>
      <c r="G133" s="322">
        <f t="shared" si="1"/>
        <v>0.66168651854607519</v>
      </c>
      <c r="H133" s="344"/>
    </row>
    <row r="134" spans="1:10" x14ac:dyDescent="0.25">
      <c r="A134" s="1"/>
      <c r="B134" s="360" t="s">
        <v>171</v>
      </c>
      <c r="C134" s="360"/>
      <c r="D134" s="323">
        <v>71589108.554009631</v>
      </c>
      <c r="E134" s="321">
        <v>52022229.517568022</v>
      </c>
      <c r="F134" s="344">
        <f t="shared" si="2"/>
        <v>19566879.036441609</v>
      </c>
      <c r="G134" s="322">
        <f t="shared" si="1"/>
        <v>0.37612534522062013</v>
      </c>
      <c r="H134" s="344"/>
    </row>
    <row r="135" spans="1:10" x14ac:dyDescent="0.25">
      <c r="A135" s="1"/>
      <c r="B135" s="362"/>
      <c r="C135" s="360"/>
      <c r="D135" s="323"/>
      <c r="F135" s="344"/>
    </row>
    <row r="136" spans="1:10" x14ac:dyDescent="0.25">
      <c r="A136" s="1"/>
      <c r="B136" s="196" t="s">
        <v>172</v>
      </c>
      <c r="C136" s="196"/>
      <c r="F136" s="344"/>
    </row>
    <row r="137" spans="1:10" x14ac:dyDescent="0.25">
      <c r="A137" s="1"/>
      <c r="B137" s="360" t="s">
        <v>173</v>
      </c>
      <c r="C137" s="360"/>
      <c r="D137" s="323">
        <v>267000</v>
      </c>
      <c r="E137" s="321">
        <v>267000</v>
      </c>
      <c r="F137" s="344">
        <f t="shared" si="2"/>
        <v>0</v>
      </c>
      <c r="G137" s="322">
        <f t="shared" si="1"/>
        <v>0</v>
      </c>
    </row>
    <row r="138" spans="1:10" s="113" customFormat="1" x14ac:dyDescent="0.25">
      <c r="A138" s="1"/>
      <c r="B138" s="360" t="s">
        <v>174</v>
      </c>
      <c r="C138" s="360"/>
      <c r="D138" s="323">
        <v>362440</v>
      </c>
      <c r="E138" s="321">
        <v>362440</v>
      </c>
      <c r="F138" s="344">
        <f t="shared" si="2"/>
        <v>0</v>
      </c>
      <c r="G138" s="322">
        <f t="shared" si="1"/>
        <v>0</v>
      </c>
      <c r="H138" s="110"/>
      <c r="I138" s="363"/>
      <c r="J138" s="111"/>
    </row>
    <row r="139" spans="1:10" s="113" customFormat="1" x14ac:dyDescent="0.25">
      <c r="A139" s="1"/>
      <c r="B139" s="196" t="s">
        <v>175</v>
      </c>
      <c r="C139" s="196"/>
      <c r="D139" s="364">
        <v>629440</v>
      </c>
      <c r="E139" s="364">
        <f>SUM(E137:E138)</f>
        <v>629440</v>
      </c>
      <c r="F139" s="344">
        <f t="shared" si="2"/>
        <v>0</v>
      </c>
      <c r="G139" s="322">
        <f t="shared" si="1"/>
        <v>0</v>
      </c>
      <c r="H139" s="110"/>
      <c r="I139" s="363"/>
      <c r="J139" s="111"/>
    </row>
    <row r="140" spans="1:10" s="113" customFormat="1" x14ac:dyDescent="0.25">
      <c r="A140" s="1"/>
      <c r="B140" s="360"/>
      <c r="C140" s="360"/>
      <c r="D140" s="320"/>
      <c r="E140" s="321"/>
      <c r="F140" s="344"/>
      <c r="G140" s="322"/>
      <c r="H140" s="110"/>
      <c r="I140" s="363"/>
      <c r="J140" s="111"/>
    </row>
    <row r="141" spans="1:10" s="113" customFormat="1" x14ac:dyDescent="0.25">
      <c r="A141" s="1"/>
      <c r="B141" s="360" t="s">
        <v>176</v>
      </c>
      <c r="C141" s="360"/>
      <c r="D141" s="323">
        <v>61311.590000000215</v>
      </c>
      <c r="E141" s="321">
        <v>61311.590000000215</v>
      </c>
      <c r="F141" s="344">
        <f t="shared" si="2"/>
        <v>0</v>
      </c>
      <c r="G141" s="322">
        <f t="shared" si="1"/>
        <v>0</v>
      </c>
      <c r="H141" s="110"/>
      <c r="I141" s="363"/>
      <c r="J141" s="111"/>
    </row>
    <row r="142" spans="1:10" s="113" customFormat="1" x14ac:dyDescent="0.25">
      <c r="A142" s="1"/>
      <c r="B142" s="360" t="s">
        <v>177</v>
      </c>
      <c r="C142" s="360"/>
      <c r="D142" s="323">
        <v>16056.739999999998</v>
      </c>
      <c r="E142" s="321">
        <v>16056.739999999998</v>
      </c>
      <c r="F142" s="344">
        <f t="shared" si="2"/>
        <v>0</v>
      </c>
      <c r="G142" s="322">
        <f t="shared" si="1"/>
        <v>0</v>
      </c>
      <c r="H142" s="110"/>
      <c r="I142" s="363"/>
      <c r="J142" s="111"/>
    </row>
    <row r="143" spans="1:10" x14ac:dyDescent="0.25">
      <c r="A143" s="1"/>
      <c r="B143" s="360" t="s">
        <v>178</v>
      </c>
      <c r="C143" s="360"/>
      <c r="D143" s="323">
        <v>1221686.23</v>
      </c>
      <c r="E143" s="321">
        <v>6208858.9000000004</v>
      </c>
      <c r="F143" s="344">
        <f t="shared" si="2"/>
        <v>-4987172.67</v>
      </c>
      <c r="G143" s="322">
        <f t="shared" si="1"/>
        <v>-0.80323498251828529</v>
      </c>
    </row>
    <row r="144" spans="1:10" x14ac:dyDescent="0.25">
      <c r="A144" s="1"/>
      <c r="B144" s="360" t="s">
        <v>179</v>
      </c>
      <c r="C144" s="360"/>
      <c r="D144" s="323">
        <v>0</v>
      </c>
      <c r="E144" s="321">
        <v>0</v>
      </c>
      <c r="F144" s="344">
        <f t="shared" si="2"/>
        <v>0</v>
      </c>
      <c r="G144" s="322">
        <v>0</v>
      </c>
    </row>
    <row r="145" spans="1:7" x14ac:dyDescent="0.25">
      <c r="A145" s="1"/>
      <c r="B145" s="360" t="s">
        <v>686</v>
      </c>
      <c r="C145" s="360"/>
      <c r="D145" s="323">
        <v>530411.03449999995</v>
      </c>
      <c r="E145" s="321">
        <v>530411.02999999886</v>
      </c>
      <c r="F145" s="344">
        <f t="shared" si="2"/>
        <v>4.5000010868534446E-3</v>
      </c>
      <c r="G145" s="322">
        <f t="shared" si="1"/>
        <v>8.4839886227427996E-9</v>
      </c>
    </row>
    <row r="146" spans="1:7" x14ac:dyDescent="0.25">
      <c r="A146" s="1"/>
      <c r="B146" s="196" t="s">
        <v>162</v>
      </c>
      <c r="C146" s="196"/>
      <c r="D146" s="348">
        <f>+D131+D132+D133+D134+D139+D141+D142+D143+D145+D144</f>
        <v>204047092.27850959</v>
      </c>
      <c r="E146" s="365">
        <f>+E131+E132+E133+E134+E139+E141+E142+E143+E145+E144</f>
        <v>193319060.00552458</v>
      </c>
      <c r="F146" s="350">
        <f>SUM(F131:F145)</f>
        <v>10878411.912985029</v>
      </c>
      <c r="G146" s="351">
        <f>+D146/E146-1</f>
        <v>5.5493919082155951E-2</v>
      </c>
    </row>
    <row r="147" spans="1:7" ht="19.5" customHeight="1" x14ac:dyDescent="0.25">
      <c r="A147" s="1"/>
      <c r="B147" s="113"/>
      <c r="C147" s="113"/>
    </row>
    <row r="148" spans="1:7" x14ac:dyDescent="0.25">
      <c r="A148" s="1"/>
      <c r="B148" s="731"/>
      <c r="C148" s="731"/>
      <c r="D148" s="731"/>
      <c r="E148" s="731"/>
      <c r="F148" s="731"/>
      <c r="G148" s="731"/>
    </row>
    <row r="149" spans="1:7" x14ac:dyDescent="0.25">
      <c r="A149" s="1"/>
      <c r="B149" s="366" t="s">
        <v>180</v>
      </c>
      <c r="C149" s="367"/>
      <c r="D149" s="367"/>
      <c r="E149" s="367"/>
      <c r="F149" s="367"/>
      <c r="G149" s="368"/>
    </row>
    <row r="150" spans="1:7" x14ac:dyDescent="0.25">
      <c r="A150" s="1"/>
      <c r="B150" s="366"/>
      <c r="C150" s="367"/>
      <c r="D150" s="367"/>
      <c r="E150" s="367"/>
      <c r="F150" s="367"/>
      <c r="G150" s="369"/>
    </row>
    <row r="151" spans="1:7" x14ac:dyDescent="0.25">
      <c r="A151" s="1"/>
      <c r="B151" s="370" t="s">
        <v>181</v>
      </c>
      <c r="C151" s="371"/>
      <c r="D151" s="371"/>
      <c r="E151" s="371"/>
      <c r="F151" s="371"/>
      <c r="G151" s="368"/>
    </row>
    <row r="152" spans="1:7" ht="6.6" customHeight="1" x14ac:dyDescent="0.25">
      <c r="A152" s="1"/>
      <c r="B152" s="370"/>
      <c r="C152" s="371"/>
      <c r="D152" s="371"/>
      <c r="E152" s="371"/>
      <c r="F152" s="371"/>
      <c r="G152" s="368"/>
    </row>
    <row r="153" spans="1:7" x14ac:dyDescent="0.25">
      <c r="A153" s="1"/>
      <c r="B153" s="372" t="s">
        <v>182</v>
      </c>
      <c r="C153" s="373"/>
      <c r="D153" s="374"/>
      <c r="E153" s="373"/>
      <c r="F153" s="375"/>
      <c r="G153" s="368"/>
    </row>
    <row r="154" spans="1:7" x14ac:dyDescent="0.25">
      <c r="A154" s="1"/>
      <c r="B154" s="376" t="s">
        <v>183</v>
      </c>
      <c r="C154" s="377"/>
      <c r="D154" s="377"/>
      <c r="E154" s="377"/>
      <c r="F154" s="377"/>
      <c r="G154" s="368"/>
    </row>
    <row r="155" spans="1:7" ht="18.75" thickBot="1" x14ac:dyDescent="0.3">
      <c r="A155" s="1"/>
      <c r="B155" s="378" t="s">
        <v>184</v>
      </c>
      <c r="C155" s="378"/>
      <c r="D155" s="377"/>
      <c r="E155" s="377"/>
      <c r="F155" s="377"/>
      <c r="G155" s="368"/>
    </row>
    <row r="156" spans="1:7" x14ac:dyDescent="0.25">
      <c r="A156" s="1"/>
      <c r="B156" s="379" t="s">
        <v>185</v>
      </c>
      <c r="C156" s="379" t="s">
        <v>186</v>
      </c>
      <c r="D156" s="377"/>
      <c r="E156" s="377"/>
      <c r="F156" s="377"/>
      <c r="G156" s="380"/>
    </row>
    <row r="157" spans="1:7" x14ac:dyDescent="0.25">
      <c r="A157" s="1"/>
      <c r="B157" s="381" t="s">
        <v>187</v>
      </c>
      <c r="C157" s="382">
        <v>519876.85500000068</v>
      </c>
      <c r="D157" s="377"/>
      <c r="E157" s="377"/>
      <c r="F157" s="377"/>
      <c r="G157" s="380"/>
    </row>
    <row r="158" spans="1:7" x14ac:dyDescent="0.25">
      <c r="A158" s="1"/>
      <c r="B158" s="381" t="s">
        <v>188</v>
      </c>
      <c r="C158" s="382">
        <v>553022.85999999917</v>
      </c>
      <c r="D158" s="377"/>
      <c r="E158" s="377"/>
      <c r="F158" s="377"/>
      <c r="G158" s="380"/>
    </row>
    <row r="159" spans="1:7" ht="32.25" customHeight="1" x14ac:dyDescent="0.25">
      <c r="A159" s="1"/>
      <c r="B159" s="381" t="s">
        <v>189</v>
      </c>
      <c r="C159" s="382">
        <v>544056.06000000134</v>
      </c>
      <c r="D159" s="377"/>
      <c r="E159" s="377"/>
      <c r="F159" s="377"/>
    </row>
    <row r="160" spans="1:7" x14ac:dyDescent="0.25">
      <c r="A160" s="1"/>
      <c r="B160" s="381" t="s">
        <v>190</v>
      </c>
      <c r="C160" s="382">
        <v>365904.81000000163</v>
      </c>
      <c r="D160" s="377"/>
      <c r="E160" s="377"/>
      <c r="F160" s="377"/>
    </row>
    <row r="161" spans="1:6" x14ac:dyDescent="0.25">
      <c r="A161" s="1"/>
      <c r="B161" s="381" t="s">
        <v>191</v>
      </c>
      <c r="C161" s="382">
        <v>120726.53000000026</v>
      </c>
      <c r="D161" s="377"/>
      <c r="E161" s="377"/>
      <c r="F161" s="377"/>
    </row>
    <row r="162" spans="1:6" x14ac:dyDescent="0.25">
      <c r="A162" s="1"/>
      <c r="B162" s="381" t="s">
        <v>192</v>
      </c>
      <c r="C162" s="382">
        <v>661291.18333334266</v>
      </c>
      <c r="D162" s="377"/>
      <c r="E162" s="377"/>
      <c r="F162" s="377"/>
    </row>
    <row r="163" spans="1:6" x14ac:dyDescent="0.25">
      <c r="A163" s="1"/>
      <c r="B163" s="381" t="s">
        <v>193</v>
      </c>
      <c r="C163" s="382">
        <v>17345337.337500032</v>
      </c>
      <c r="D163" s="377"/>
      <c r="E163" s="377"/>
      <c r="F163" s="377"/>
    </row>
    <row r="164" spans="1:6" x14ac:dyDescent="0.25">
      <c r="A164" s="1"/>
      <c r="B164" s="381" t="s">
        <v>194</v>
      </c>
      <c r="C164" s="382">
        <v>252003.09999999922</v>
      </c>
      <c r="D164" s="377"/>
      <c r="E164" s="377"/>
      <c r="F164" s="377"/>
    </row>
    <row r="165" spans="1:6" x14ac:dyDescent="0.25">
      <c r="A165" s="1"/>
      <c r="B165" s="381" t="s">
        <v>195</v>
      </c>
      <c r="C165" s="382">
        <v>7557418.9789999062</v>
      </c>
      <c r="D165" s="377"/>
      <c r="E165" s="377"/>
      <c r="F165" s="377"/>
    </row>
    <row r="166" spans="1:6" x14ac:dyDescent="0.25">
      <c r="A166" s="1"/>
      <c r="B166" s="381" t="s">
        <v>196</v>
      </c>
      <c r="C166" s="382">
        <v>214133</v>
      </c>
      <c r="D166" s="377"/>
      <c r="E166" s="377"/>
      <c r="F166" s="377"/>
    </row>
    <row r="167" spans="1:6" x14ac:dyDescent="0.25">
      <c r="A167" s="1"/>
      <c r="B167" s="381" t="s">
        <v>197</v>
      </c>
      <c r="C167" s="382">
        <v>374878.42199999711</v>
      </c>
      <c r="D167" s="377"/>
      <c r="E167" s="377"/>
      <c r="F167" s="377"/>
    </row>
    <row r="168" spans="1:6" x14ac:dyDescent="0.25">
      <c r="A168" s="1"/>
      <c r="B168" s="381" t="s">
        <v>198</v>
      </c>
      <c r="C168" s="382">
        <v>299.99999999999818</v>
      </c>
      <c r="D168" s="377"/>
      <c r="E168" s="377"/>
      <c r="F168" s="377"/>
    </row>
    <row r="169" spans="1:6" x14ac:dyDescent="0.25">
      <c r="A169" s="1"/>
      <c r="B169" s="381" t="s">
        <v>199</v>
      </c>
      <c r="C169" s="382">
        <v>82463950.498998046</v>
      </c>
      <c r="D169" s="377"/>
      <c r="E169" s="377"/>
      <c r="F169" s="377"/>
    </row>
    <row r="170" spans="1:6" x14ac:dyDescent="0.25">
      <c r="A170" s="1"/>
      <c r="B170" s="381" t="s">
        <v>200</v>
      </c>
      <c r="C170" s="382">
        <v>3743960.849999988</v>
      </c>
      <c r="D170" s="377"/>
      <c r="E170" s="377"/>
      <c r="F170" s="377"/>
    </row>
    <row r="171" spans="1:6" x14ac:dyDescent="0.25">
      <c r="A171" s="1"/>
      <c r="B171" s="381" t="s">
        <v>201</v>
      </c>
      <c r="C171" s="382">
        <v>5120745.0661568539</v>
      </c>
      <c r="D171" s="377"/>
      <c r="E171" s="377"/>
      <c r="F171" s="377"/>
    </row>
    <row r="172" spans="1:6" x14ac:dyDescent="0.25">
      <c r="A172" s="1"/>
      <c r="B172" s="381" t="s">
        <v>202</v>
      </c>
      <c r="C172" s="382">
        <v>5484900.1279999968</v>
      </c>
      <c r="D172" s="377"/>
      <c r="E172" s="377"/>
      <c r="F172" s="377"/>
    </row>
    <row r="173" spans="1:6" x14ac:dyDescent="0.25">
      <c r="A173" s="1"/>
      <c r="B173" s="381" t="s">
        <v>203</v>
      </c>
      <c r="C173" s="382">
        <v>237146.72472172324</v>
      </c>
      <c r="D173" s="377"/>
      <c r="E173" s="377"/>
      <c r="F173" s="377"/>
    </row>
    <row r="174" spans="1:6" x14ac:dyDescent="0.25">
      <c r="A174" s="1"/>
      <c r="B174" s="381" t="s">
        <v>204</v>
      </c>
      <c r="C174" s="382">
        <v>1264658.0600000047</v>
      </c>
      <c r="D174" s="377"/>
      <c r="E174" s="377"/>
      <c r="F174" s="377"/>
    </row>
    <row r="175" spans="1:6" x14ac:dyDescent="0.25">
      <c r="A175" s="1"/>
      <c r="B175" s="381" t="s">
        <v>205</v>
      </c>
      <c r="C175" s="382">
        <v>703394.75500034261</v>
      </c>
      <c r="D175" s="377"/>
      <c r="E175" s="377"/>
      <c r="F175" s="377"/>
    </row>
    <row r="176" spans="1:6" x14ac:dyDescent="0.25">
      <c r="A176" s="1"/>
      <c r="B176" s="381" t="s">
        <v>206</v>
      </c>
      <c r="C176" s="382">
        <v>985193.80000000016</v>
      </c>
      <c r="D176" s="377"/>
      <c r="E176" s="377"/>
      <c r="F176" s="377"/>
    </row>
    <row r="177" spans="1:6" x14ac:dyDescent="0.25">
      <c r="A177" s="1"/>
      <c r="B177" s="381" t="s">
        <v>207</v>
      </c>
      <c r="C177" s="382">
        <v>114451.03999999652</v>
      </c>
      <c r="D177" s="377"/>
      <c r="E177" s="377"/>
      <c r="F177" s="377"/>
    </row>
    <row r="178" spans="1:6" x14ac:dyDescent="0.25">
      <c r="A178" s="1"/>
      <c r="B178" s="381" t="s">
        <v>208</v>
      </c>
      <c r="C178" s="382">
        <v>8942.580000000482</v>
      </c>
      <c r="D178" s="377"/>
      <c r="E178" s="377"/>
      <c r="F178" s="377"/>
    </row>
    <row r="179" spans="1:6" ht="18.75" thickBot="1" x14ac:dyDescent="0.3">
      <c r="A179" s="1"/>
      <c r="B179" s="383" t="s">
        <v>209</v>
      </c>
      <c r="C179" s="384">
        <f>SUM(C157:C178)</f>
        <v>128636292.63971022</v>
      </c>
      <c r="D179" s="377"/>
      <c r="E179" s="377"/>
      <c r="F179" s="377"/>
    </row>
    <row r="180" spans="1:6" x14ac:dyDescent="0.25">
      <c r="A180" s="1"/>
      <c r="B180" s="362"/>
      <c r="C180" s="377"/>
      <c r="D180" s="377"/>
      <c r="E180" s="377"/>
      <c r="F180" s="377"/>
    </row>
    <row r="181" spans="1:6" x14ac:dyDescent="0.25">
      <c r="A181" s="1"/>
      <c r="B181" s="385" t="s">
        <v>210</v>
      </c>
      <c r="C181" s="377"/>
      <c r="D181" s="377"/>
      <c r="E181" s="377"/>
      <c r="F181" s="377"/>
    </row>
    <row r="182" spans="1:6" x14ac:dyDescent="0.25">
      <c r="A182" s="1"/>
      <c r="B182" s="362"/>
      <c r="C182" s="377"/>
      <c r="D182" s="377"/>
      <c r="E182" s="377"/>
      <c r="F182" s="377"/>
    </row>
    <row r="183" spans="1:6" x14ac:dyDescent="0.25">
      <c r="A183" s="1"/>
      <c r="B183" s="702" t="s">
        <v>211</v>
      </c>
      <c r="C183" s="702" t="s">
        <v>186</v>
      </c>
      <c r="D183" s="377"/>
      <c r="E183" s="377"/>
      <c r="F183" s="377"/>
    </row>
    <row r="184" spans="1:6" x14ac:dyDescent="0.25">
      <c r="A184" s="1"/>
      <c r="B184" s="381" t="s">
        <v>212</v>
      </c>
      <c r="C184" s="386">
        <v>42918.410000000069</v>
      </c>
      <c r="D184" s="377"/>
      <c r="E184" s="377"/>
      <c r="F184" s="377"/>
    </row>
    <row r="185" spans="1:6" x14ac:dyDescent="0.25">
      <c r="A185" s="1"/>
      <c r="B185" s="381" t="s">
        <v>213</v>
      </c>
      <c r="C185" s="386">
        <v>525130.80000000005</v>
      </c>
      <c r="D185" s="377"/>
      <c r="E185" s="377"/>
      <c r="F185" s="377"/>
    </row>
    <row r="186" spans="1:6" x14ac:dyDescent="0.25">
      <c r="A186" s="1"/>
      <c r="B186" s="387" t="s">
        <v>214</v>
      </c>
      <c r="C186" s="386">
        <v>420080.35999999987</v>
      </c>
      <c r="D186" s="377"/>
      <c r="E186" s="377"/>
      <c r="F186" s="377"/>
    </row>
    <row r="187" spans="1:6" x14ac:dyDescent="0.25">
      <c r="A187" s="1"/>
      <c r="B187" s="703" t="s">
        <v>215</v>
      </c>
      <c r="C187" s="704">
        <f>SUM(C184:C186)</f>
        <v>988129.57</v>
      </c>
      <c r="D187" s="377"/>
      <c r="E187" s="377"/>
      <c r="F187" s="377"/>
    </row>
    <row r="188" spans="1:6" x14ac:dyDescent="0.25">
      <c r="A188" s="1"/>
      <c r="B188" s="362"/>
      <c r="C188" s="377"/>
      <c r="D188" s="377"/>
      <c r="E188" s="377"/>
      <c r="F188" s="377"/>
    </row>
    <row r="189" spans="1:6" x14ac:dyDescent="0.25">
      <c r="A189" s="1"/>
      <c r="B189" s="388" t="s">
        <v>216</v>
      </c>
      <c r="C189" s="377"/>
      <c r="D189" s="377"/>
      <c r="E189" s="377"/>
      <c r="F189" s="377"/>
    </row>
    <row r="190" spans="1:6" x14ac:dyDescent="0.25">
      <c r="A190" s="1"/>
      <c r="B190" s="388"/>
      <c r="C190" s="377"/>
      <c r="D190" s="377"/>
      <c r="E190" s="377"/>
      <c r="F190" s="377"/>
    </row>
    <row r="191" spans="1:6" x14ac:dyDescent="0.25">
      <c r="A191" s="1"/>
      <c r="B191" s="702" t="s">
        <v>217</v>
      </c>
      <c r="C191" s="702" t="s">
        <v>218</v>
      </c>
      <c r="D191" s="377"/>
      <c r="E191" s="377"/>
      <c r="F191" s="377"/>
    </row>
    <row r="192" spans="1:6" x14ac:dyDescent="0.25">
      <c r="A192" s="1"/>
      <c r="B192" s="381" t="s">
        <v>219</v>
      </c>
      <c r="C192" s="389">
        <v>119437.99526143784</v>
      </c>
      <c r="D192" s="377"/>
      <c r="E192" s="377"/>
      <c r="F192" s="377"/>
    </row>
    <row r="193" spans="1:6" x14ac:dyDescent="0.25">
      <c r="A193" s="1"/>
      <c r="B193" s="381" t="s">
        <v>220</v>
      </c>
      <c r="C193" s="389">
        <v>1963.2399999999907</v>
      </c>
      <c r="D193" s="377"/>
      <c r="E193" s="377"/>
      <c r="F193" s="377"/>
    </row>
    <row r="194" spans="1:6" x14ac:dyDescent="0.25">
      <c r="A194" s="1"/>
      <c r="B194" s="381" t="s">
        <v>221</v>
      </c>
      <c r="C194" s="389">
        <v>74126.299999999988</v>
      </c>
      <c r="D194" s="377"/>
      <c r="E194" s="377"/>
      <c r="F194" s="377"/>
    </row>
    <row r="195" spans="1:6" x14ac:dyDescent="0.25">
      <c r="A195" s="1"/>
      <c r="B195" s="381" t="s">
        <v>222</v>
      </c>
      <c r="C195" s="389">
        <v>18298.379999999997</v>
      </c>
      <c r="D195" s="377"/>
      <c r="E195" s="377"/>
      <c r="F195" s="377"/>
    </row>
    <row r="196" spans="1:6" x14ac:dyDescent="0.25">
      <c r="A196" s="1"/>
      <c r="B196" s="381" t="s">
        <v>223</v>
      </c>
      <c r="C196" s="389">
        <v>160830</v>
      </c>
      <c r="D196" s="377"/>
      <c r="E196" s="377"/>
      <c r="F196" s="377"/>
    </row>
    <row r="197" spans="1:6" x14ac:dyDescent="0.25">
      <c r="A197" s="1"/>
      <c r="B197" s="703" t="s">
        <v>215</v>
      </c>
      <c r="C197" s="704">
        <f>SUM(C192:C196)</f>
        <v>374655.91526143783</v>
      </c>
      <c r="D197" s="377"/>
      <c r="E197" s="377"/>
      <c r="F197" s="377"/>
    </row>
    <row r="198" spans="1:6" x14ac:dyDescent="0.25">
      <c r="A198" s="1"/>
      <c r="B198" s="362"/>
      <c r="C198" s="377"/>
      <c r="D198" s="377"/>
      <c r="E198" s="377"/>
      <c r="F198" s="377"/>
    </row>
    <row r="199" spans="1:6" x14ac:dyDescent="0.25">
      <c r="A199" s="1"/>
      <c r="B199" s="362" t="s">
        <v>224</v>
      </c>
      <c r="C199" s="392"/>
      <c r="D199" s="393"/>
      <c r="E199" s="392"/>
      <c r="F199" s="394"/>
    </row>
    <row r="200" spans="1:6" x14ac:dyDescent="0.25">
      <c r="A200" s="1"/>
      <c r="B200" s="362" t="s">
        <v>225</v>
      </c>
      <c r="C200" s="392"/>
      <c r="D200" s="393"/>
      <c r="E200" s="392"/>
      <c r="F200" s="394"/>
    </row>
    <row r="201" spans="1:6" x14ac:dyDescent="0.25">
      <c r="A201" s="1"/>
      <c r="B201" s="388"/>
      <c r="C201" s="395"/>
      <c r="D201" s="396"/>
      <c r="E201" s="395"/>
      <c r="F201" s="394"/>
    </row>
    <row r="202" spans="1:6" x14ac:dyDescent="0.25">
      <c r="A202" s="1"/>
      <c r="B202" s="388" t="s">
        <v>226</v>
      </c>
      <c r="C202" s="395"/>
      <c r="D202" s="396"/>
      <c r="E202" s="395"/>
      <c r="F202" s="394"/>
    </row>
    <row r="203" spans="1:6" x14ac:dyDescent="0.25">
      <c r="A203" s="1"/>
      <c r="B203" s="362"/>
      <c r="C203" s="397"/>
      <c r="D203" s="398"/>
      <c r="E203" s="397"/>
      <c r="F203" s="399"/>
    </row>
    <row r="204" spans="1:6" x14ac:dyDescent="0.25">
      <c r="A204" s="1"/>
      <c r="B204" s="362" t="s">
        <v>227</v>
      </c>
      <c r="C204" s="397"/>
      <c r="D204" s="398"/>
      <c r="E204" s="397"/>
      <c r="F204" s="399"/>
    </row>
    <row r="205" spans="1:6" x14ac:dyDescent="0.25">
      <c r="A205" s="1"/>
      <c r="B205" s="362" t="s">
        <v>228</v>
      </c>
      <c r="C205" s="397"/>
      <c r="D205" s="398"/>
      <c r="E205" s="397"/>
      <c r="F205" s="399"/>
    </row>
    <row r="206" spans="1:6" x14ac:dyDescent="0.25">
      <c r="A206" s="1"/>
      <c r="B206" s="400"/>
      <c r="C206" s="400"/>
    </row>
    <row r="207" spans="1:6" x14ac:dyDescent="0.25">
      <c r="A207" s="1"/>
      <c r="B207" s="400"/>
      <c r="C207" s="400"/>
    </row>
    <row r="208" spans="1:6" x14ac:dyDescent="0.25">
      <c r="A208" s="1"/>
      <c r="B208" s="401" t="s">
        <v>229</v>
      </c>
      <c r="C208" s="401"/>
    </row>
    <row r="209" spans="1:9" x14ac:dyDescent="0.25">
      <c r="A209" s="1"/>
      <c r="B209" s="712" t="s">
        <v>230</v>
      </c>
      <c r="C209" s="712"/>
      <c r="D209" s="712"/>
      <c r="E209" s="712"/>
      <c r="F209" s="712"/>
      <c r="G209" s="712"/>
    </row>
    <row r="210" spans="1:9" x14ac:dyDescent="0.25">
      <c r="A210" s="1"/>
      <c r="B210" s="712"/>
      <c r="C210" s="712"/>
      <c r="D210" s="712"/>
      <c r="E210" s="712"/>
      <c r="F210" s="712"/>
      <c r="G210" s="712"/>
    </row>
    <row r="211" spans="1:9" ht="9" customHeight="1" x14ac:dyDescent="0.25">
      <c r="A211" s="1"/>
      <c r="B211" s="712"/>
      <c r="C211" s="712"/>
      <c r="D211" s="712"/>
      <c r="E211" s="712"/>
      <c r="F211" s="712"/>
      <c r="G211" s="712"/>
    </row>
    <row r="212" spans="1:9" ht="1.5" customHeight="1" x14ac:dyDescent="0.25">
      <c r="A212" s="1"/>
      <c r="B212" s="712"/>
      <c r="C212" s="712"/>
      <c r="D212" s="712"/>
      <c r="E212" s="712"/>
      <c r="F212" s="712"/>
      <c r="G212" s="712"/>
    </row>
    <row r="213" spans="1:9" x14ac:dyDescent="0.25">
      <c r="A213" s="1"/>
      <c r="B213" s="113"/>
      <c r="C213" s="113"/>
      <c r="D213" s="339">
        <v>2022</v>
      </c>
      <c r="E213" s="339">
        <v>2021</v>
      </c>
      <c r="F213" s="340" t="s">
        <v>34</v>
      </c>
      <c r="G213" s="341" t="s">
        <v>155</v>
      </c>
    </row>
    <row r="214" spans="1:9" x14ac:dyDescent="0.25">
      <c r="A214" s="1"/>
      <c r="B214" s="402" t="s">
        <v>231</v>
      </c>
      <c r="C214" s="402"/>
      <c r="D214" s="320">
        <v>5148020.1100000003</v>
      </c>
      <c r="E214" s="320">
        <v>879737.65249999939</v>
      </c>
      <c r="F214" s="344">
        <f>+D214-E214</f>
        <v>4268282.4575000014</v>
      </c>
      <c r="G214" s="403">
        <f>+D214/E214-1</f>
        <v>4.8517673938026702</v>
      </c>
    </row>
    <row r="215" spans="1:9" x14ac:dyDescent="0.25">
      <c r="A215" s="1"/>
      <c r="B215" s="402" t="s">
        <v>232</v>
      </c>
      <c r="C215" s="402"/>
      <c r="D215" s="320">
        <v>10771972.060000001</v>
      </c>
      <c r="E215" s="320">
        <v>14617948.32404751</v>
      </c>
      <c r="F215" s="344">
        <f>+D215-E215</f>
        <v>-3845976.2640475091</v>
      </c>
      <c r="G215" s="403">
        <f t="shared" ref="G215:G227" si="3">+D215/E215-1</f>
        <v>-0.26309959364958346</v>
      </c>
    </row>
    <row r="216" spans="1:9" x14ac:dyDescent="0.25">
      <c r="A216" s="1"/>
      <c r="B216" s="400" t="s">
        <v>233</v>
      </c>
      <c r="C216" s="400"/>
      <c r="D216" s="320">
        <v>5285298.959999999</v>
      </c>
      <c r="E216" s="320">
        <v>5823087.5048822882</v>
      </c>
      <c r="F216" s="344">
        <f t="shared" ref="F216:F227" si="4">+D216-E216</f>
        <v>-537788.54488228913</v>
      </c>
      <c r="G216" s="403">
        <f t="shared" si="3"/>
        <v>-9.2354536048339986E-2</v>
      </c>
      <c r="I216" s="404"/>
    </row>
    <row r="217" spans="1:9" x14ac:dyDescent="0.25">
      <c r="A217" s="1"/>
      <c r="B217" s="400" t="s">
        <v>234</v>
      </c>
      <c r="C217" s="400"/>
      <c r="D217" s="320">
        <v>21964956.405248087</v>
      </c>
      <c r="E217" s="320">
        <v>22896026.999301683</v>
      </c>
      <c r="F217" s="344">
        <f t="shared" si="4"/>
        <v>-931070.59405359626</v>
      </c>
      <c r="G217" s="403">
        <f t="shared" si="3"/>
        <v>-4.0665159683904717E-2</v>
      </c>
    </row>
    <row r="218" spans="1:9" x14ac:dyDescent="0.25">
      <c r="A218" s="1"/>
      <c r="B218" s="400" t="s">
        <v>235</v>
      </c>
      <c r="C218" s="400"/>
      <c r="D218" s="320">
        <v>46383327.439999998</v>
      </c>
      <c r="E218" s="320">
        <v>34839073.156954765</v>
      </c>
      <c r="F218" s="344">
        <f t="shared" si="4"/>
        <v>11544254.283045232</v>
      </c>
      <c r="G218" s="403">
        <f t="shared" si="3"/>
        <v>0.33135939727893438</v>
      </c>
    </row>
    <row r="219" spans="1:9" x14ac:dyDescent="0.25">
      <c r="A219" s="1"/>
      <c r="B219" s="400" t="s">
        <v>236</v>
      </c>
      <c r="C219" s="400"/>
      <c r="D219" s="320">
        <v>795781.71</v>
      </c>
      <c r="E219" s="320">
        <v>4142488.4968298026</v>
      </c>
      <c r="F219" s="344">
        <f t="shared" si="4"/>
        <v>-3346706.7868298027</v>
      </c>
      <c r="G219" s="403">
        <f t="shared" si="3"/>
        <v>-0.80789766571252952</v>
      </c>
    </row>
    <row r="220" spans="1:9" x14ac:dyDescent="0.25">
      <c r="A220" s="1"/>
      <c r="B220" s="400" t="s">
        <v>237</v>
      </c>
      <c r="C220" s="400"/>
      <c r="D220" s="320">
        <v>4997507.7658023601</v>
      </c>
      <c r="E220" s="320">
        <v>1760604.739834052</v>
      </c>
      <c r="F220" s="344">
        <f t="shared" si="4"/>
        <v>3236903.0259683081</v>
      </c>
      <c r="G220" s="403">
        <f t="shared" si="3"/>
        <v>1.8385177278765057</v>
      </c>
    </row>
    <row r="221" spans="1:9" x14ac:dyDescent="0.25">
      <c r="A221" s="1"/>
      <c r="B221" s="400" t="s">
        <v>238</v>
      </c>
      <c r="C221" s="400"/>
      <c r="D221" s="320">
        <v>827217.77236000006</v>
      </c>
      <c r="E221" s="320">
        <v>480928.87603107956</v>
      </c>
      <c r="F221" s="344">
        <f t="shared" si="4"/>
        <v>346288.8963289205</v>
      </c>
      <c r="G221" s="403">
        <f t="shared" si="3"/>
        <v>0.72004180573790699</v>
      </c>
    </row>
    <row r="222" spans="1:9" x14ac:dyDescent="0.25">
      <c r="A222" s="1"/>
      <c r="B222" s="400" t="s">
        <v>239</v>
      </c>
      <c r="C222" s="400"/>
      <c r="D222" s="320">
        <v>1100589.8051661642</v>
      </c>
      <c r="E222" s="320">
        <v>77674.199665205262</v>
      </c>
      <c r="F222" s="344">
        <f t="shared" si="4"/>
        <v>1022915.6055009589</v>
      </c>
      <c r="G222" s="403">
        <v>1</v>
      </c>
    </row>
    <row r="223" spans="1:9" x14ac:dyDescent="0.25">
      <c r="A223" s="1"/>
      <c r="B223" s="400" t="s">
        <v>240</v>
      </c>
      <c r="C223" s="400"/>
      <c r="D223" s="320">
        <v>1020715.4273195199</v>
      </c>
      <c r="E223" s="320">
        <v>1764668.7446198654</v>
      </c>
      <c r="F223" s="344">
        <f t="shared" si="4"/>
        <v>-743953.31730034552</v>
      </c>
      <c r="G223" s="403">
        <f t="shared" si="3"/>
        <v>-0.4215824185522159</v>
      </c>
    </row>
    <row r="224" spans="1:9" x14ac:dyDescent="0.25">
      <c r="A224" s="1"/>
      <c r="B224" s="400" t="s">
        <v>241</v>
      </c>
      <c r="C224" s="400"/>
      <c r="D224" s="320">
        <v>3575.8596947305195</v>
      </c>
      <c r="E224" s="320">
        <v>329365.89737612428</v>
      </c>
      <c r="F224" s="344">
        <f t="shared" si="4"/>
        <v>-325790.03768139379</v>
      </c>
      <c r="G224" s="403">
        <f t="shared" si="3"/>
        <v>-0.98914319993898148</v>
      </c>
    </row>
    <row r="225" spans="1:10" x14ac:dyDescent="0.25">
      <c r="A225" s="1"/>
      <c r="B225" s="400" t="s">
        <v>242</v>
      </c>
      <c r="C225" s="400"/>
      <c r="D225" s="320">
        <v>1857.159703999987</v>
      </c>
      <c r="E225" s="320">
        <v>73336.287921279669</v>
      </c>
      <c r="F225" s="344">
        <f t="shared" si="4"/>
        <v>-71479.128217279678</v>
      </c>
      <c r="G225" s="403">
        <f t="shared" si="3"/>
        <v>-0.97467611524060926</v>
      </c>
    </row>
    <row r="226" spans="1:10" x14ac:dyDescent="0.25">
      <c r="A226" s="1"/>
      <c r="B226" s="405" t="s">
        <v>243</v>
      </c>
      <c r="C226" s="405"/>
      <c r="D226" s="320">
        <f>1511475.505+49467.93</f>
        <v>1560943.4349999998</v>
      </c>
      <c r="E226" s="320">
        <v>685739.73049999983</v>
      </c>
      <c r="F226" s="344">
        <f t="shared" si="4"/>
        <v>875203.70449999999</v>
      </c>
      <c r="G226" s="403">
        <f t="shared" si="3"/>
        <v>1.2762913764116517</v>
      </c>
    </row>
    <row r="227" spans="1:10" x14ac:dyDescent="0.25">
      <c r="A227" s="1"/>
      <c r="B227" s="405" t="s">
        <v>244</v>
      </c>
      <c r="C227" s="405"/>
      <c r="D227" s="320">
        <v>1680335.1600000001</v>
      </c>
      <c r="E227" s="320">
        <v>852462.34999999939</v>
      </c>
      <c r="F227" s="344">
        <f t="shared" si="4"/>
        <v>827872.81000000075</v>
      </c>
      <c r="G227" s="403">
        <f t="shared" si="3"/>
        <v>0.97115469087872475</v>
      </c>
    </row>
    <row r="228" spans="1:10" s="10" customFormat="1" ht="27.6" customHeight="1" thickBot="1" x14ac:dyDescent="0.3">
      <c r="B228" s="406" t="s">
        <v>162</v>
      </c>
      <c r="C228" s="406"/>
      <c r="D228" s="407">
        <f>SUM(D214:D227)</f>
        <v>101542099.07029486</v>
      </c>
      <c r="E228" s="407">
        <f>SUM(E214:E227)</f>
        <v>89223142.960463658</v>
      </c>
      <c r="F228" s="408">
        <f>SUM(F214:F227)</f>
        <v>12318956.109831205</v>
      </c>
      <c r="G228" s="409">
        <f>+D228/E228-1</f>
        <v>0.1380690670725413</v>
      </c>
      <c r="H228" s="410"/>
      <c r="I228" s="337">
        <f>+D228-'1.Estado de Situación Comparat'!C19</f>
        <v>0</v>
      </c>
      <c r="J228" s="338"/>
    </row>
    <row r="229" spans="1:10" s="10" customFormat="1" ht="27.6" customHeight="1" x14ac:dyDescent="0.25">
      <c r="B229" s="406"/>
      <c r="C229" s="406"/>
      <c r="D229" s="352"/>
      <c r="E229" s="352"/>
      <c r="F229" s="411"/>
      <c r="G229" s="412"/>
      <c r="I229" s="337"/>
      <c r="J229" s="338"/>
    </row>
    <row r="230" spans="1:10" x14ac:dyDescent="0.25">
      <c r="A230" s="1"/>
      <c r="B230" s="413" t="s">
        <v>245</v>
      </c>
      <c r="C230" s="413"/>
      <c r="D230" s="414"/>
      <c r="E230" s="415"/>
      <c r="F230" s="413"/>
      <c r="G230" s="369"/>
    </row>
    <row r="231" spans="1:10" x14ac:dyDescent="0.25">
      <c r="A231" s="1"/>
      <c r="B231" s="360" t="s">
        <v>246</v>
      </c>
      <c r="C231" s="360"/>
    </row>
    <row r="232" spans="1:10" ht="32.450000000000003" customHeight="1" x14ac:dyDescent="0.25">
      <c r="A232" s="1"/>
      <c r="B232" s="727" t="s">
        <v>247</v>
      </c>
      <c r="C232" s="727"/>
      <c r="D232" s="727"/>
      <c r="E232" s="727"/>
      <c r="F232" s="727"/>
      <c r="G232" s="727"/>
    </row>
    <row r="233" spans="1:10" ht="32.450000000000003" customHeight="1" x14ac:dyDescent="0.25">
      <c r="A233" s="1"/>
      <c r="B233" s="400"/>
      <c r="C233" s="400"/>
    </row>
    <row r="234" spans="1:10" ht="32.450000000000003" customHeight="1" x14ac:dyDescent="0.25">
      <c r="A234" s="1"/>
      <c r="B234" s="728" t="s">
        <v>248</v>
      </c>
      <c r="C234" s="728"/>
      <c r="D234" s="728"/>
      <c r="E234" s="728"/>
      <c r="F234" s="728"/>
      <c r="H234" s="410"/>
    </row>
    <row r="235" spans="1:10" x14ac:dyDescent="0.25">
      <c r="A235" s="1"/>
      <c r="B235" s="416"/>
      <c r="C235" s="416"/>
    </row>
    <row r="236" spans="1:10" x14ac:dyDescent="0.25">
      <c r="A236" s="1"/>
      <c r="B236" s="125" t="s">
        <v>249</v>
      </c>
      <c r="C236" s="125"/>
      <c r="D236" s="358"/>
      <c r="E236" s="358"/>
      <c r="F236" s="357"/>
      <c r="G236" s="359"/>
    </row>
    <row r="237" spans="1:10" x14ac:dyDescent="0.25">
      <c r="A237" s="1"/>
      <c r="B237" s="125"/>
      <c r="C237" s="125"/>
      <c r="D237" s="358"/>
      <c r="E237" s="358"/>
      <c r="F237" s="357"/>
      <c r="G237" s="359"/>
    </row>
    <row r="238" spans="1:10" x14ac:dyDescent="0.25">
      <c r="A238" s="1"/>
      <c r="B238" s="125"/>
      <c r="C238" s="125"/>
      <c r="D238" s="358"/>
      <c r="E238" s="358"/>
      <c r="F238" s="357"/>
      <c r="G238" s="359"/>
    </row>
    <row r="239" spans="1:10" x14ac:dyDescent="0.25">
      <c r="A239" s="1"/>
      <c r="B239" s="196" t="s">
        <v>250</v>
      </c>
      <c r="C239" s="196"/>
    </row>
    <row r="240" spans="1:10" ht="18.75" thickBot="1" x14ac:dyDescent="0.3">
      <c r="A240" s="1"/>
      <c r="B240" s="196"/>
      <c r="C240" s="196"/>
    </row>
    <row r="241" spans="1:8" ht="33.75" customHeight="1" x14ac:dyDescent="0.25">
      <c r="A241" s="1"/>
      <c r="B241" s="417"/>
      <c r="C241" s="418" t="s">
        <v>251</v>
      </c>
      <c r="D241" s="418" t="s">
        <v>252</v>
      </c>
      <c r="E241" s="419" t="s">
        <v>253</v>
      </c>
      <c r="F241" s="420" t="s">
        <v>162</v>
      </c>
      <c r="G241" s="421"/>
    </row>
    <row r="242" spans="1:8" ht="18.75" x14ac:dyDescent="0.25">
      <c r="A242" s="1"/>
      <c r="B242" s="422" t="s">
        <v>254</v>
      </c>
      <c r="C242" s="423">
        <v>27731762.638194878</v>
      </c>
      <c r="D242" s="423">
        <v>58791263.079999998</v>
      </c>
      <c r="E242" s="423">
        <v>37903588.590000004</v>
      </c>
      <c r="F242" s="424">
        <f>SUM(C242:E242)</f>
        <v>124426614.30819488</v>
      </c>
      <c r="G242" s="425"/>
    </row>
    <row r="243" spans="1:8" ht="18.75" x14ac:dyDescent="0.25">
      <c r="A243" s="1"/>
      <c r="B243" s="426" t="s">
        <v>255</v>
      </c>
      <c r="C243" s="427">
        <v>3682751.5199999972</v>
      </c>
      <c r="D243" s="427">
        <v>8058033.9059999995</v>
      </c>
      <c r="E243" s="428">
        <f>5315587.466+1295429.25</f>
        <v>6611016.716</v>
      </c>
      <c r="F243" s="429">
        <f>SUM(C243:E243)</f>
        <v>18351802.141999997</v>
      </c>
      <c r="G243" s="425"/>
      <c r="H243" s="430"/>
    </row>
    <row r="244" spans="1:8" ht="18" customHeight="1" x14ac:dyDescent="0.25">
      <c r="A244" s="1"/>
      <c r="B244" s="422" t="s">
        <v>256</v>
      </c>
      <c r="C244" s="431">
        <f>SUM(C242:C243)</f>
        <v>31414514.158194873</v>
      </c>
      <c r="D244" s="431">
        <f t="shared" ref="D244:F244" si="5">SUM(D242:D243)</f>
        <v>66849296.986000001</v>
      </c>
      <c r="E244" s="431">
        <f t="shared" si="5"/>
        <v>44514605.306000002</v>
      </c>
      <c r="F244" s="432">
        <f t="shared" si="5"/>
        <v>142778416.45019487</v>
      </c>
      <c r="G244" s="425"/>
    </row>
    <row r="245" spans="1:8" ht="18.75" x14ac:dyDescent="0.25">
      <c r="A245" s="1"/>
      <c r="B245" s="422"/>
      <c r="C245" s="433"/>
      <c r="D245" s="433"/>
      <c r="E245" s="433"/>
      <c r="F245" s="434"/>
      <c r="G245" s="425"/>
    </row>
    <row r="246" spans="1:8" ht="18.75" x14ac:dyDescent="0.3">
      <c r="A246" s="1"/>
      <c r="B246" s="422" t="s">
        <v>257</v>
      </c>
      <c r="C246" s="435">
        <f>-6964666*3</f>
        <v>-20893998</v>
      </c>
      <c r="D246" s="435">
        <f>-7232943.14*3</f>
        <v>-21698829.419999998</v>
      </c>
      <c r="E246" s="435">
        <f>+-5696789*3</f>
        <v>-17090367</v>
      </c>
      <c r="F246" s="436">
        <f>SUM(C246:E246)</f>
        <v>-59683194.420000002</v>
      </c>
      <c r="G246" s="425"/>
    </row>
    <row r="247" spans="1:8" ht="15" customHeight="1" x14ac:dyDescent="0.25">
      <c r="A247" s="1"/>
      <c r="B247" s="426" t="s">
        <v>258</v>
      </c>
      <c r="C247" s="428">
        <v>-3801236.78</v>
      </c>
      <c r="D247" s="428">
        <v>-4785023.3</v>
      </c>
      <c r="E247" s="428">
        <v>-2666046.81</v>
      </c>
      <c r="F247" s="429">
        <f>SUM(C247:E247)</f>
        <v>-11252306.890000001</v>
      </c>
      <c r="G247" s="437"/>
      <c r="H247" s="336"/>
    </row>
    <row r="248" spans="1:8" ht="18.75" x14ac:dyDescent="0.25">
      <c r="A248" s="1"/>
      <c r="B248" s="422" t="s">
        <v>259</v>
      </c>
      <c r="C248" s="431">
        <f>SUM(C246:C247)</f>
        <v>-24695234.780000001</v>
      </c>
      <c r="D248" s="431">
        <f t="shared" ref="D248:F248" si="6">SUM(D246:D247)</f>
        <v>-26483852.719999999</v>
      </c>
      <c r="E248" s="431">
        <f t="shared" si="6"/>
        <v>-19756413.809999999</v>
      </c>
      <c r="F248" s="432">
        <f t="shared" si="6"/>
        <v>-70935501.310000002</v>
      </c>
      <c r="G248" s="438"/>
    </row>
    <row r="249" spans="1:8" ht="19.5" thickBot="1" x14ac:dyDescent="0.3">
      <c r="B249" s="439" t="s">
        <v>260</v>
      </c>
      <c r="C249" s="440">
        <f>+C244+C248</f>
        <v>6719279.3781948723</v>
      </c>
      <c r="D249" s="440">
        <f t="shared" ref="D249:F249" si="7">+D244+D248</f>
        <v>40365444.266000003</v>
      </c>
      <c r="E249" s="440">
        <f t="shared" si="7"/>
        <v>24758191.496000003</v>
      </c>
      <c r="F249" s="441">
        <f t="shared" si="7"/>
        <v>71842915.140194863</v>
      </c>
      <c r="G249" s="437"/>
    </row>
    <row r="250" spans="1:8" x14ac:dyDescent="0.25">
      <c r="B250" s="442"/>
      <c r="C250" s="443"/>
      <c r="D250" s="443"/>
      <c r="E250" s="443"/>
      <c r="F250" s="443"/>
      <c r="G250" s="425"/>
    </row>
    <row r="251" spans="1:8" x14ac:dyDescent="0.25">
      <c r="B251" s="444"/>
      <c r="C251" s="444"/>
      <c r="D251" s="445"/>
      <c r="E251" s="445"/>
      <c r="F251" s="446"/>
      <c r="G251" s="447"/>
    </row>
    <row r="252" spans="1:8" x14ac:dyDescent="0.25">
      <c r="B252" s="448" t="s">
        <v>687</v>
      </c>
      <c r="C252" s="449"/>
      <c r="F252" s="430"/>
    </row>
    <row r="253" spans="1:8" x14ac:dyDescent="0.25">
      <c r="B253" s="449"/>
      <c r="C253" s="449"/>
      <c r="F253" s="430"/>
    </row>
    <row r="254" spans="1:8" x14ac:dyDescent="0.25">
      <c r="B254" s="450" t="s">
        <v>261</v>
      </c>
      <c r="C254" s="451" t="s">
        <v>262</v>
      </c>
      <c r="D254" s="452"/>
      <c r="E254" s="453"/>
      <c r="F254" s="121"/>
      <c r="G254" s="454"/>
    </row>
    <row r="255" spans="1:8" x14ac:dyDescent="0.25">
      <c r="B255" s="455" t="s">
        <v>263</v>
      </c>
      <c r="C255" s="456">
        <v>850000</v>
      </c>
      <c r="D255" s="438"/>
      <c r="F255" s="430"/>
    </row>
    <row r="256" spans="1:8" x14ac:dyDescent="0.25">
      <c r="B256" s="455" t="s">
        <v>264</v>
      </c>
      <c r="C256" s="456">
        <v>1097607.6799999999</v>
      </c>
      <c r="D256" s="438"/>
      <c r="F256" s="430"/>
    </row>
    <row r="257" spans="2:6" x14ac:dyDescent="0.25">
      <c r="B257" s="455" t="s">
        <v>265</v>
      </c>
      <c r="C257" s="456">
        <v>10578.7</v>
      </c>
      <c r="D257" s="438"/>
      <c r="F257" s="430"/>
    </row>
    <row r="258" spans="2:6" x14ac:dyDescent="0.25">
      <c r="B258" s="455" t="s">
        <v>266</v>
      </c>
      <c r="C258" s="456">
        <v>1</v>
      </c>
      <c r="D258" s="438"/>
      <c r="F258" s="430"/>
    </row>
    <row r="259" spans="2:6" x14ac:dyDescent="0.25">
      <c r="B259" s="455" t="s">
        <v>267</v>
      </c>
      <c r="C259" s="456">
        <v>12</v>
      </c>
      <c r="D259" s="438"/>
      <c r="F259" s="430"/>
    </row>
    <row r="260" spans="2:6" x14ac:dyDescent="0.25">
      <c r="B260" s="455" t="s">
        <v>268</v>
      </c>
      <c r="C260" s="456">
        <v>34800</v>
      </c>
      <c r="D260" s="438"/>
      <c r="F260" s="430"/>
    </row>
    <row r="261" spans="2:6" x14ac:dyDescent="0.25">
      <c r="B261" s="455" t="s">
        <v>269</v>
      </c>
      <c r="C261" s="456">
        <v>94990</v>
      </c>
      <c r="D261" s="438"/>
      <c r="F261" s="430"/>
    </row>
    <row r="262" spans="2:6" x14ac:dyDescent="0.25">
      <c r="B262" s="455" t="s">
        <v>270</v>
      </c>
      <c r="C262" s="456">
        <v>247847.2</v>
      </c>
      <c r="D262" s="438"/>
      <c r="F262" s="430"/>
    </row>
    <row r="263" spans="2:6" x14ac:dyDescent="0.25">
      <c r="B263" s="455" t="s">
        <v>271</v>
      </c>
      <c r="C263" s="456">
        <v>17700</v>
      </c>
      <c r="D263" s="438"/>
      <c r="F263" s="430"/>
    </row>
    <row r="264" spans="2:6" x14ac:dyDescent="0.25">
      <c r="B264" s="455" t="s">
        <v>272</v>
      </c>
      <c r="C264" s="456">
        <v>11328</v>
      </c>
      <c r="D264" s="438"/>
      <c r="F264" s="430"/>
    </row>
    <row r="265" spans="2:6" x14ac:dyDescent="0.25">
      <c r="B265" s="455" t="s">
        <v>273</v>
      </c>
      <c r="C265" s="456">
        <v>2860</v>
      </c>
      <c r="D265" s="438"/>
      <c r="F265" s="430"/>
    </row>
    <row r="266" spans="2:6" x14ac:dyDescent="0.25">
      <c r="B266" s="455" t="s">
        <v>274</v>
      </c>
      <c r="C266" s="456">
        <v>46</v>
      </c>
      <c r="D266" s="438"/>
      <c r="F266" s="430"/>
    </row>
    <row r="267" spans="2:6" x14ac:dyDescent="0.25">
      <c r="B267" s="455" t="s">
        <v>275</v>
      </c>
      <c r="C267" s="456">
        <v>283200</v>
      </c>
      <c r="D267" s="438"/>
      <c r="F267" s="430"/>
    </row>
    <row r="268" spans="2:6" x14ac:dyDescent="0.25">
      <c r="B268" s="455" t="s">
        <v>276</v>
      </c>
      <c r="C268" s="456">
        <v>36610.17</v>
      </c>
      <c r="D268" s="438"/>
      <c r="F268" s="430"/>
    </row>
    <row r="269" spans="2:6" x14ac:dyDescent="0.25">
      <c r="B269" s="455" t="s">
        <v>277</v>
      </c>
      <c r="C269" s="456">
        <v>27138.75</v>
      </c>
      <c r="D269" s="438"/>
      <c r="F269" s="430"/>
    </row>
    <row r="270" spans="2:6" x14ac:dyDescent="0.25">
      <c r="B270" s="455" t="s">
        <v>278</v>
      </c>
      <c r="C270" s="456">
        <v>221388.56</v>
      </c>
      <c r="D270" s="438"/>
      <c r="F270" s="430"/>
    </row>
    <row r="271" spans="2:6" x14ac:dyDescent="0.25">
      <c r="B271" s="455" t="s">
        <v>279</v>
      </c>
      <c r="C271" s="456">
        <v>41300</v>
      </c>
      <c r="D271" s="438"/>
      <c r="F271" s="430"/>
    </row>
    <row r="272" spans="2:6" x14ac:dyDescent="0.25">
      <c r="B272" s="455" t="s">
        <v>280</v>
      </c>
      <c r="C272" s="456">
        <v>55386.27</v>
      </c>
      <c r="D272" s="438"/>
      <c r="F272" s="430"/>
    </row>
    <row r="273" spans="2:6" x14ac:dyDescent="0.25">
      <c r="B273" s="455" t="s">
        <v>281</v>
      </c>
      <c r="C273" s="456">
        <v>137446.39999999999</v>
      </c>
      <c r="D273" s="438"/>
      <c r="F273" s="430"/>
    </row>
    <row r="274" spans="2:6" x14ac:dyDescent="0.25">
      <c r="B274" s="455" t="s">
        <v>282</v>
      </c>
      <c r="C274" s="456">
        <v>256750.3</v>
      </c>
      <c r="D274" s="438"/>
      <c r="F274" s="430"/>
    </row>
    <row r="275" spans="2:6" x14ac:dyDescent="0.25">
      <c r="B275" s="455" t="s">
        <v>283</v>
      </c>
      <c r="C275" s="456">
        <v>3328934.6799999974</v>
      </c>
      <c r="D275" s="438"/>
      <c r="F275" s="430"/>
    </row>
    <row r="276" spans="2:6" x14ac:dyDescent="0.25">
      <c r="B276" s="455" t="s">
        <v>284</v>
      </c>
      <c r="C276" s="456">
        <v>41040.400000000001</v>
      </c>
      <c r="D276" s="438"/>
      <c r="F276" s="430"/>
    </row>
    <row r="277" spans="2:6" x14ac:dyDescent="0.25">
      <c r="B277" s="455" t="s">
        <v>285</v>
      </c>
      <c r="C277" s="456">
        <v>343315.94</v>
      </c>
      <c r="D277" s="438"/>
      <c r="F277" s="430"/>
    </row>
    <row r="278" spans="2:6" x14ac:dyDescent="0.25">
      <c r="B278" s="455" t="s">
        <v>286</v>
      </c>
      <c r="C278" s="456">
        <v>213580</v>
      </c>
      <c r="D278" s="438"/>
      <c r="F278" s="430"/>
    </row>
    <row r="279" spans="2:6" x14ac:dyDescent="0.25">
      <c r="B279" s="455" t="s">
        <v>287</v>
      </c>
      <c r="C279" s="456">
        <v>72187.679999999993</v>
      </c>
      <c r="D279" s="438"/>
      <c r="F279" s="430"/>
    </row>
    <row r="280" spans="2:6" x14ac:dyDescent="0.25">
      <c r="B280" s="455" t="s">
        <v>288</v>
      </c>
      <c r="C280" s="456">
        <v>1736792.37</v>
      </c>
      <c r="D280" s="438"/>
      <c r="F280" s="430"/>
    </row>
    <row r="281" spans="2:6" x14ac:dyDescent="0.25">
      <c r="B281" s="455" t="s">
        <v>289</v>
      </c>
      <c r="C281" s="456">
        <v>5</v>
      </c>
      <c r="D281" s="438"/>
      <c r="F281" s="430"/>
    </row>
    <row r="282" spans="2:6" x14ac:dyDescent="0.25">
      <c r="B282" s="455" t="s">
        <v>290</v>
      </c>
      <c r="C282" s="456">
        <v>7</v>
      </c>
      <c r="D282" s="438"/>
      <c r="F282" s="430"/>
    </row>
    <row r="283" spans="2:6" x14ac:dyDescent="0.25">
      <c r="B283" s="455" t="s">
        <v>291</v>
      </c>
      <c r="C283" s="456">
        <v>7</v>
      </c>
      <c r="D283" s="438"/>
      <c r="F283" s="430"/>
    </row>
    <row r="284" spans="2:6" x14ac:dyDescent="0.25">
      <c r="B284" s="455" t="s">
        <v>292</v>
      </c>
      <c r="C284" s="456">
        <v>15340</v>
      </c>
      <c r="D284" s="438"/>
      <c r="F284" s="430"/>
    </row>
    <row r="285" spans="2:6" x14ac:dyDescent="0.25">
      <c r="B285" s="455" t="s">
        <v>293</v>
      </c>
      <c r="C285" s="456">
        <v>44014</v>
      </c>
      <c r="D285" s="438"/>
      <c r="F285" s="430"/>
    </row>
    <row r="286" spans="2:6" x14ac:dyDescent="0.25">
      <c r="B286" s="455" t="s">
        <v>294</v>
      </c>
      <c r="C286" s="456">
        <f>798152+150000</f>
        <v>948152</v>
      </c>
      <c r="D286" s="457"/>
      <c r="F286" s="322"/>
    </row>
    <row r="287" spans="2:6" x14ac:dyDescent="0.25">
      <c r="B287" s="455" t="s">
        <v>295</v>
      </c>
      <c r="C287" s="456">
        <v>405495.02</v>
      </c>
      <c r="D287" s="111"/>
      <c r="F287" s="430"/>
    </row>
    <row r="288" spans="2:6" x14ac:dyDescent="0.25">
      <c r="B288" s="455" t="s">
        <v>296</v>
      </c>
      <c r="C288" s="456">
        <v>75490.559999999998</v>
      </c>
      <c r="D288" s="111"/>
      <c r="F288" s="430"/>
    </row>
    <row r="289" spans="2:6" x14ac:dyDescent="0.25">
      <c r="B289" s="455" t="s">
        <v>297</v>
      </c>
      <c r="C289" s="456">
        <v>288559.51</v>
      </c>
      <c r="D289" s="111"/>
      <c r="F289" s="430"/>
    </row>
    <row r="290" spans="2:6" x14ac:dyDescent="0.25">
      <c r="B290" s="455" t="s">
        <v>298</v>
      </c>
      <c r="C290" s="456">
        <v>708000</v>
      </c>
      <c r="D290" s="111"/>
      <c r="F290" s="430"/>
    </row>
    <row r="291" spans="2:6" x14ac:dyDescent="0.25">
      <c r="B291" s="455" t="s">
        <v>299</v>
      </c>
      <c r="C291" s="456">
        <v>19734.91</v>
      </c>
      <c r="D291" s="111"/>
      <c r="F291" s="430"/>
    </row>
    <row r="292" spans="2:6" x14ac:dyDescent="0.25">
      <c r="B292" s="455" t="s">
        <v>300</v>
      </c>
      <c r="C292" s="456">
        <v>35428.32</v>
      </c>
      <c r="D292" s="111"/>
      <c r="F292" s="430"/>
    </row>
    <row r="293" spans="2:6" x14ac:dyDescent="0.25">
      <c r="B293" s="455" t="s">
        <v>301</v>
      </c>
      <c r="C293" s="456">
        <f>454668.42+175000</f>
        <v>629668.41999999993</v>
      </c>
      <c r="D293" s="111"/>
      <c r="F293" s="430"/>
    </row>
    <row r="294" spans="2:6" x14ac:dyDescent="0.25">
      <c r="B294" s="455" t="s">
        <v>302</v>
      </c>
      <c r="C294" s="456">
        <v>198653.74</v>
      </c>
      <c r="D294" s="111"/>
      <c r="F294" s="430"/>
    </row>
    <row r="295" spans="2:6" x14ac:dyDescent="0.25">
      <c r="B295" s="455" t="s">
        <v>303</v>
      </c>
      <c r="C295" s="456">
        <v>31860</v>
      </c>
      <c r="D295" s="111"/>
      <c r="F295" s="430"/>
    </row>
    <row r="296" spans="2:6" x14ac:dyDescent="0.25">
      <c r="B296" s="455" t="s">
        <v>304</v>
      </c>
      <c r="C296" s="456">
        <v>8200</v>
      </c>
      <c r="D296" s="111"/>
      <c r="F296" s="430"/>
    </row>
    <row r="297" spans="2:6" x14ac:dyDescent="0.25">
      <c r="B297" s="455" t="s">
        <v>305</v>
      </c>
      <c r="C297" s="456">
        <v>33580.94</v>
      </c>
      <c r="D297" s="111"/>
      <c r="F297" s="430"/>
    </row>
    <row r="298" spans="2:6" x14ac:dyDescent="0.25">
      <c r="B298" s="455" t="s">
        <v>306</v>
      </c>
      <c r="C298" s="456">
        <v>25258.61</v>
      </c>
      <c r="D298" s="111"/>
      <c r="F298" s="430"/>
    </row>
    <row r="299" spans="2:6" x14ac:dyDescent="0.25">
      <c r="B299" s="455" t="s">
        <v>307</v>
      </c>
      <c r="C299" s="456">
        <v>19497.14</v>
      </c>
      <c r="D299" s="111"/>
      <c r="F299" s="430"/>
    </row>
    <row r="300" spans="2:6" x14ac:dyDescent="0.25">
      <c r="B300" s="455" t="s">
        <v>308</v>
      </c>
      <c r="C300" s="456">
        <v>127204</v>
      </c>
      <c r="D300" s="111"/>
      <c r="F300" s="430"/>
    </row>
    <row r="301" spans="2:6" x14ac:dyDescent="0.25">
      <c r="B301" s="455" t="s">
        <v>309</v>
      </c>
      <c r="C301" s="456">
        <v>44972.22</v>
      </c>
      <c r="D301" s="111"/>
      <c r="F301" s="430"/>
    </row>
    <row r="302" spans="2:6" x14ac:dyDescent="0.25">
      <c r="B302" s="455" t="s">
        <v>310</v>
      </c>
      <c r="C302" s="456">
        <v>7500</v>
      </c>
      <c r="D302" s="111"/>
      <c r="F302" s="430"/>
    </row>
    <row r="303" spans="2:6" x14ac:dyDescent="0.25">
      <c r="B303" s="455" t="s">
        <v>311</v>
      </c>
      <c r="C303" s="456">
        <v>574921.67000000004</v>
      </c>
      <c r="D303" s="111"/>
      <c r="F303" s="430"/>
    </row>
    <row r="304" spans="2:6" x14ac:dyDescent="0.25">
      <c r="B304" s="455" t="s">
        <v>312</v>
      </c>
      <c r="C304" s="456">
        <f>2114531.68+375000</f>
        <v>2489531.6800000002</v>
      </c>
      <c r="D304" s="111"/>
      <c r="F304" s="430"/>
    </row>
    <row r="305" spans="2:6" x14ac:dyDescent="0.25">
      <c r="B305" s="455" t="s">
        <v>313</v>
      </c>
      <c r="C305" s="456">
        <v>21000</v>
      </c>
      <c r="D305" s="111"/>
      <c r="F305" s="430"/>
    </row>
    <row r="306" spans="2:6" x14ac:dyDescent="0.25">
      <c r="B306" s="455" t="s">
        <v>314</v>
      </c>
      <c r="C306" s="456">
        <v>56817</v>
      </c>
      <c r="D306" s="111"/>
      <c r="F306" s="430"/>
    </row>
    <row r="307" spans="2:6" x14ac:dyDescent="0.25">
      <c r="B307" s="455" t="s">
        <v>315</v>
      </c>
      <c r="C307" s="456">
        <v>45990</v>
      </c>
      <c r="D307" s="111"/>
      <c r="F307" s="430"/>
    </row>
    <row r="308" spans="2:6" x14ac:dyDescent="0.25">
      <c r="B308" s="455" t="s">
        <v>316</v>
      </c>
      <c r="C308" s="456">
        <v>4895</v>
      </c>
      <c r="D308" s="111"/>
      <c r="F308" s="430"/>
    </row>
    <row r="309" spans="2:6" x14ac:dyDescent="0.25">
      <c r="B309" s="455" t="s">
        <v>317</v>
      </c>
      <c r="C309" s="456">
        <v>6018</v>
      </c>
      <c r="D309" s="111"/>
      <c r="F309" s="430"/>
    </row>
    <row r="310" spans="2:6" x14ac:dyDescent="0.25">
      <c r="B310" s="455" t="s">
        <v>318</v>
      </c>
      <c r="C310" s="456">
        <v>2095</v>
      </c>
      <c r="D310" s="111"/>
      <c r="F310" s="430"/>
    </row>
    <row r="311" spans="2:6" x14ac:dyDescent="0.25">
      <c r="B311" s="455" t="s">
        <v>319</v>
      </c>
      <c r="C311" s="456">
        <v>11564</v>
      </c>
      <c r="D311" s="111"/>
      <c r="F311" s="430"/>
    </row>
    <row r="312" spans="2:6" x14ac:dyDescent="0.25">
      <c r="B312" s="455" t="s">
        <v>320</v>
      </c>
      <c r="C312" s="456">
        <v>10000</v>
      </c>
      <c r="D312" s="111"/>
      <c r="F312" s="430"/>
    </row>
    <row r="313" spans="2:6" x14ac:dyDescent="0.25">
      <c r="B313" s="455" t="s">
        <v>321</v>
      </c>
      <c r="C313" s="456">
        <v>79296</v>
      </c>
      <c r="D313" s="111"/>
      <c r="F313" s="430"/>
    </row>
    <row r="314" spans="2:6" x14ac:dyDescent="0.25">
      <c r="B314" s="455" t="s">
        <v>322</v>
      </c>
      <c r="C314" s="456">
        <v>10000</v>
      </c>
      <c r="D314" s="111"/>
      <c r="F314" s="430"/>
    </row>
    <row r="315" spans="2:6" x14ac:dyDescent="0.25">
      <c r="B315" s="455" t="s">
        <v>323</v>
      </c>
      <c r="C315" s="456">
        <f>180000+300000</f>
        <v>480000</v>
      </c>
      <c r="D315" s="111"/>
      <c r="F315" s="430"/>
    </row>
    <row r="316" spans="2:6" x14ac:dyDescent="0.25">
      <c r="B316" s="455" t="s">
        <v>324</v>
      </c>
      <c r="C316" s="456">
        <v>42008</v>
      </c>
      <c r="D316" s="111"/>
      <c r="F316" s="430"/>
    </row>
    <row r="317" spans="2:6" x14ac:dyDescent="0.25">
      <c r="B317" s="455" t="s">
        <v>325</v>
      </c>
      <c r="C317" s="456">
        <v>14060.88</v>
      </c>
      <c r="D317" s="111"/>
      <c r="F317" s="430"/>
    </row>
    <row r="318" spans="2:6" x14ac:dyDescent="0.25">
      <c r="B318" s="455" t="s">
        <v>326</v>
      </c>
      <c r="C318" s="456">
        <v>216467.83000000005</v>
      </c>
      <c r="D318" s="111"/>
      <c r="F318" s="430"/>
    </row>
    <row r="319" spans="2:6" x14ac:dyDescent="0.25">
      <c r="B319" s="455" t="s">
        <v>327</v>
      </c>
      <c r="C319" s="456">
        <v>277771.40999999992</v>
      </c>
      <c r="D319" s="111"/>
      <c r="F319" s="430"/>
    </row>
    <row r="320" spans="2:6" x14ac:dyDescent="0.25">
      <c r="B320" s="455" t="s">
        <v>328</v>
      </c>
      <c r="C320" s="456">
        <v>559320</v>
      </c>
      <c r="D320" s="111"/>
      <c r="F320" s="430"/>
    </row>
    <row r="321" spans="1:7" x14ac:dyDescent="0.25">
      <c r="B321" s="455" t="s">
        <v>329</v>
      </c>
      <c r="C321" s="456">
        <v>65655.199999999997</v>
      </c>
      <c r="D321" s="111"/>
      <c r="F321" s="430"/>
    </row>
    <row r="322" spans="1:7" x14ac:dyDescent="0.25">
      <c r="B322" s="455" t="s">
        <v>330</v>
      </c>
      <c r="C322" s="456">
        <v>17027.400000000001</v>
      </c>
      <c r="D322" s="111"/>
      <c r="F322" s="430"/>
    </row>
    <row r="323" spans="1:7" x14ac:dyDescent="0.25">
      <c r="B323" s="455" t="s">
        <v>331</v>
      </c>
      <c r="C323" s="456">
        <f>154580+295429</f>
        <v>450009</v>
      </c>
      <c r="D323" s="111"/>
      <c r="F323" s="430"/>
    </row>
    <row r="324" spans="1:7" x14ac:dyDescent="0.25">
      <c r="B324" s="455" t="s">
        <v>332</v>
      </c>
      <c r="C324" s="456">
        <v>8850</v>
      </c>
      <c r="D324" s="111"/>
      <c r="F324" s="430"/>
    </row>
    <row r="325" spans="1:7" x14ac:dyDescent="0.25">
      <c r="B325" s="455" t="s">
        <v>333</v>
      </c>
      <c r="C325" s="456">
        <v>7487.1</v>
      </c>
      <c r="D325" s="111"/>
      <c r="F325" s="430"/>
    </row>
    <row r="326" spans="1:7" x14ac:dyDescent="0.25">
      <c r="B326" s="455" t="s">
        <v>334</v>
      </c>
      <c r="C326" s="456">
        <v>34810</v>
      </c>
      <c r="D326" s="111"/>
      <c r="F326" s="430"/>
    </row>
    <row r="327" spans="1:7" x14ac:dyDescent="0.25">
      <c r="B327" s="455" t="s">
        <v>335</v>
      </c>
      <c r="C327" s="456">
        <f>36736.232+0.25</f>
        <v>36736.482000000004</v>
      </c>
      <c r="D327" s="111"/>
      <c r="F327" s="430"/>
    </row>
    <row r="328" spans="1:7" x14ac:dyDescent="0.25">
      <c r="B328" s="390" t="s">
        <v>336</v>
      </c>
      <c r="C328" s="391">
        <f>SUM(C255:C327)</f>
        <v>18351802.141999997</v>
      </c>
      <c r="D328" s="111">
        <f>+C328-F243</f>
        <v>0</v>
      </c>
      <c r="F328" s="430"/>
    </row>
    <row r="329" spans="1:7" x14ac:dyDescent="0.25">
      <c r="B329" s="321"/>
      <c r="C329" s="321"/>
      <c r="D329" s="111"/>
      <c r="F329" s="430"/>
    </row>
    <row r="330" spans="1:7" x14ac:dyDescent="0.25">
      <c r="B330" s="321"/>
      <c r="C330" s="321"/>
      <c r="D330" s="111"/>
      <c r="F330" s="430"/>
    </row>
    <row r="331" spans="1:7" x14ac:dyDescent="0.25">
      <c r="A331" s="202"/>
      <c r="B331" s="458" t="s">
        <v>337</v>
      </c>
      <c r="C331" s="458"/>
      <c r="D331" s="458"/>
      <c r="E331" s="458"/>
      <c r="F331" s="458"/>
      <c r="G331" s="458"/>
    </row>
    <row r="332" spans="1:7" x14ac:dyDescent="0.25">
      <c r="A332" s="202"/>
      <c r="B332" s="458"/>
      <c r="C332" s="458"/>
      <c r="D332" s="458"/>
      <c r="E332" s="458"/>
      <c r="F332" s="458"/>
      <c r="G332" s="458"/>
    </row>
    <row r="333" spans="1:7" x14ac:dyDescent="0.25">
      <c r="A333" s="202"/>
      <c r="B333" s="458" t="s">
        <v>338</v>
      </c>
      <c r="C333" s="458"/>
      <c r="D333" s="458"/>
      <c r="E333" s="458"/>
      <c r="F333" s="458"/>
      <c r="G333" s="458"/>
    </row>
    <row r="334" spans="1:7" ht="31.5" customHeight="1" x14ac:dyDescent="0.25">
      <c r="A334" s="202"/>
      <c r="B334" s="726" t="s">
        <v>339</v>
      </c>
      <c r="C334" s="726"/>
      <c r="D334" s="726"/>
      <c r="E334" s="726"/>
      <c r="F334" s="726"/>
      <c r="G334" s="458"/>
    </row>
    <row r="335" spans="1:7" ht="31.5" customHeight="1" x14ac:dyDescent="0.25">
      <c r="B335" s="726"/>
      <c r="C335" s="726"/>
      <c r="D335" s="726"/>
      <c r="E335" s="726"/>
      <c r="F335" s="726"/>
      <c r="G335" s="458"/>
    </row>
    <row r="336" spans="1:7" x14ac:dyDescent="0.25">
      <c r="B336" s="458"/>
      <c r="C336" s="458"/>
      <c r="D336" s="458"/>
      <c r="E336" s="458"/>
      <c r="F336" s="458"/>
      <c r="G336" s="458"/>
    </row>
    <row r="337" spans="1:10" x14ac:dyDescent="0.25">
      <c r="B337" s="459" t="s">
        <v>340</v>
      </c>
      <c r="C337" s="449"/>
      <c r="D337" s="460"/>
      <c r="E337" s="329"/>
      <c r="F337" s="461"/>
    </row>
    <row r="338" spans="1:10" ht="18.75" thickBot="1" x14ac:dyDescent="0.3">
      <c r="A338" s="1"/>
      <c r="B338" s="462" t="s">
        <v>341</v>
      </c>
      <c r="C338" s="449"/>
      <c r="D338" s="460"/>
      <c r="E338" s="329"/>
      <c r="F338" s="461"/>
    </row>
    <row r="339" spans="1:10" ht="24" customHeight="1" thickBot="1" x14ac:dyDescent="0.3">
      <c r="A339" s="1"/>
      <c r="B339" s="701" t="s">
        <v>162</v>
      </c>
      <c r="C339" s="196"/>
      <c r="D339" s="339">
        <v>2022</v>
      </c>
      <c r="E339" s="339">
        <v>2021</v>
      </c>
      <c r="F339" s="463" t="s">
        <v>34</v>
      </c>
      <c r="G339" s="464" t="s">
        <v>155</v>
      </c>
    </row>
    <row r="340" spans="1:10" ht="18.75" x14ac:dyDescent="0.3">
      <c r="A340" s="1"/>
      <c r="B340" s="360"/>
      <c r="C340" s="360"/>
      <c r="D340" s="323"/>
      <c r="F340" s="465"/>
      <c r="G340" s="466"/>
    </row>
    <row r="341" spans="1:10" s="10" customFormat="1" x14ac:dyDescent="0.25">
      <c r="B341" s="462" t="s">
        <v>685</v>
      </c>
      <c r="C341" s="462"/>
      <c r="D341" s="22">
        <v>102422854.99926604</v>
      </c>
      <c r="E341" s="22">
        <v>196979843.08143491</v>
      </c>
      <c r="F341" s="467">
        <f>+D341-E341</f>
        <v>-94556988.082168862</v>
      </c>
      <c r="G341" s="468">
        <f>+D341/E341-1</f>
        <v>-0.48003382784236126</v>
      </c>
      <c r="I341" s="337"/>
      <c r="J341" s="338"/>
    </row>
    <row r="342" spans="1:10" ht="18" customHeight="1" thickBot="1" x14ac:dyDescent="0.3">
      <c r="A342" s="1"/>
      <c r="B342" s="325" t="s">
        <v>162</v>
      </c>
      <c r="C342" s="325"/>
      <c r="D342" s="469">
        <f>SUM(D341)</f>
        <v>102422854.99926604</v>
      </c>
      <c r="E342" s="470">
        <f>SUM(E341)</f>
        <v>196979843.08143491</v>
      </c>
      <c r="F342" s="471">
        <f>SUM(F334:F341)</f>
        <v>-94556988.082168862</v>
      </c>
      <c r="G342" s="472">
        <f>+D342/E342-1</f>
        <v>-0.48003382784236126</v>
      </c>
    </row>
    <row r="343" spans="1:10" ht="18" customHeight="1" thickTop="1" x14ac:dyDescent="0.25">
      <c r="A343" s="1"/>
      <c r="B343" s="325"/>
      <c r="C343" s="325"/>
      <c r="D343" s="473"/>
      <c r="E343" s="474"/>
      <c r="F343" s="354"/>
      <c r="G343" s="355"/>
    </row>
    <row r="344" spans="1:10" ht="55.5" customHeight="1" x14ac:dyDescent="0.25">
      <c r="B344" s="723" t="s">
        <v>342</v>
      </c>
      <c r="C344" s="723"/>
      <c r="D344" s="723"/>
      <c r="E344" s="723"/>
      <c r="F344" s="723"/>
      <c r="G344" s="723"/>
    </row>
    <row r="345" spans="1:10" x14ac:dyDescent="0.25">
      <c r="B345" s="103"/>
      <c r="C345" s="103"/>
      <c r="D345" s="460"/>
      <c r="E345" s="329"/>
      <c r="F345" s="461"/>
    </row>
    <row r="346" spans="1:10" x14ac:dyDescent="0.25">
      <c r="B346" s="475" t="s">
        <v>343</v>
      </c>
      <c r="C346" s="476"/>
      <c r="D346" s="460"/>
      <c r="E346" s="329"/>
      <c r="F346" s="103"/>
    </row>
    <row r="347" spans="1:10" x14ac:dyDescent="0.25">
      <c r="B347" s="198" t="s">
        <v>344</v>
      </c>
      <c r="C347" s="198"/>
      <c r="D347" s="460"/>
      <c r="E347" s="329"/>
      <c r="F347" s="103"/>
    </row>
    <row r="349" spans="1:10" x14ac:dyDescent="0.25">
      <c r="B349" s="196" t="s">
        <v>345</v>
      </c>
      <c r="C349" s="196"/>
      <c r="D349" s="339">
        <v>2022</v>
      </c>
      <c r="E349" s="339">
        <v>2021</v>
      </c>
      <c r="F349" s="340" t="s">
        <v>34</v>
      </c>
      <c r="G349" s="341" t="s">
        <v>155</v>
      </c>
    </row>
    <row r="350" spans="1:10" ht="19.5" x14ac:dyDescent="0.25">
      <c r="B350" s="110" t="s">
        <v>346</v>
      </c>
      <c r="D350" s="321">
        <v>0</v>
      </c>
      <c r="E350" s="321">
        <v>505745.943624679</v>
      </c>
      <c r="F350" s="344">
        <f t="shared" ref="F350:F360" si="8">+D350-E350</f>
        <v>-505745.943624679</v>
      </c>
      <c r="G350" s="322">
        <f t="shared" ref="G350:G358" si="9">+D350/E350-1</f>
        <v>-1</v>
      </c>
    </row>
    <row r="351" spans="1:10" x14ac:dyDescent="0.25">
      <c r="B351" s="110" t="s">
        <v>347</v>
      </c>
      <c r="D351" s="321">
        <v>38779419.93</v>
      </c>
      <c r="E351" s="321">
        <v>31314437.253200013</v>
      </c>
      <c r="F351" s="344">
        <f t="shared" si="8"/>
        <v>7464982.6767999865</v>
      </c>
      <c r="G351" s="322">
        <f t="shared" si="9"/>
        <v>0.23838789170759056</v>
      </c>
    </row>
    <row r="352" spans="1:10" hidden="1" x14ac:dyDescent="0.25">
      <c r="B352" s="110" t="s">
        <v>348</v>
      </c>
      <c r="D352" s="321">
        <v>0</v>
      </c>
      <c r="F352" s="344">
        <f t="shared" si="8"/>
        <v>0</v>
      </c>
      <c r="G352" s="322" t="e">
        <f t="shared" si="9"/>
        <v>#DIV/0!</v>
      </c>
    </row>
    <row r="353" spans="2:7" hidden="1" x14ac:dyDescent="0.25">
      <c r="B353" s="110" t="s">
        <v>349</v>
      </c>
      <c r="D353" s="321">
        <v>0</v>
      </c>
      <c r="F353" s="344">
        <f t="shared" si="8"/>
        <v>0</v>
      </c>
      <c r="G353" s="322" t="e">
        <f t="shared" si="9"/>
        <v>#DIV/0!</v>
      </c>
    </row>
    <row r="354" spans="2:7" hidden="1" x14ac:dyDescent="0.25">
      <c r="B354" s="110" t="s">
        <v>350</v>
      </c>
      <c r="D354" s="321">
        <v>0</v>
      </c>
      <c r="F354" s="344">
        <f t="shared" si="8"/>
        <v>0</v>
      </c>
      <c r="G354" s="322" t="e">
        <f t="shared" si="9"/>
        <v>#DIV/0!</v>
      </c>
    </row>
    <row r="355" spans="2:7" hidden="1" x14ac:dyDescent="0.25">
      <c r="B355" s="113" t="s">
        <v>351</v>
      </c>
      <c r="C355" s="113"/>
      <c r="D355" s="321">
        <v>0</v>
      </c>
      <c r="F355" s="344">
        <f>+D355-E355</f>
        <v>0</v>
      </c>
      <c r="G355" s="322" t="e">
        <f t="shared" si="9"/>
        <v>#DIV/0!</v>
      </c>
    </row>
    <row r="356" spans="2:7" x14ac:dyDescent="0.25">
      <c r="B356" s="113" t="s">
        <v>352</v>
      </c>
      <c r="C356" s="113"/>
      <c r="D356" s="321">
        <v>305252.85500000103</v>
      </c>
      <c r="E356" s="321">
        <v>305252.85500000103</v>
      </c>
      <c r="F356" s="344">
        <f t="shared" si="8"/>
        <v>0</v>
      </c>
      <c r="G356" s="322">
        <f t="shared" si="9"/>
        <v>0</v>
      </c>
    </row>
    <row r="357" spans="2:7" hidden="1" x14ac:dyDescent="0.25">
      <c r="B357" s="113" t="s">
        <v>353</v>
      </c>
      <c r="C357" s="113"/>
      <c r="D357" s="321">
        <v>0</v>
      </c>
      <c r="F357" s="344">
        <f t="shared" si="8"/>
        <v>0</v>
      </c>
      <c r="G357" s="322" t="e">
        <f t="shared" si="9"/>
        <v>#DIV/0!</v>
      </c>
    </row>
    <row r="358" spans="2:7" hidden="1" x14ac:dyDescent="0.25">
      <c r="B358" s="113" t="s">
        <v>354</v>
      </c>
      <c r="C358" s="113"/>
      <c r="D358" s="321">
        <v>0</v>
      </c>
      <c r="F358" s="344">
        <f t="shared" si="8"/>
        <v>0</v>
      </c>
      <c r="G358" s="322" t="e">
        <f t="shared" si="9"/>
        <v>#DIV/0!</v>
      </c>
    </row>
    <row r="359" spans="2:7" hidden="1" x14ac:dyDescent="0.25">
      <c r="B359" s="113" t="s">
        <v>355</v>
      </c>
      <c r="C359" s="113"/>
      <c r="D359" s="321">
        <v>0</v>
      </c>
      <c r="F359" s="344">
        <f t="shared" si="8"/>
        <v>0</v>
      </c>
      <c r="G359" s="322" t="e">
        <f>+D359/E359-1</f>
        <v>#DIV/0!</v>
      </c>
    </row>
    <row r="360" spans="2:7" x14ac:dyDescent="0.25">
      <c r="B360" s="113" t="s">
        <v>356</v>
      </c>
      <c r="C360" s="113"/>
      <c r="D360" s="321">
        <v>14186.479999999907</v>
      </c>
      <c r="E360" s="321">
        <v>6853.1499999999069</v>
      </c>
      <c r="F360" s="344">
        <f t="shared" si="8"/>
        <v>7333.33</v>
      </c>
      <c r="G360" s="322">
        <v>1</v>
      </c>
    </row>
    <row r="361" spans="2:7" hidden="1" x14ac:dyDescent="0.25">
      <c r="B361" s="113"/>
      <c r="C361" s="113"/>
      <c r="D361" s="321"/>
      <c r="F361" s="344"/>
    </row>
    <row r="362" spans="2:7" x14ac:dyDescent="0.25">
      <c r="B362" s="113"/>
      <c r="C362" s="113"/>
      <c r="D362" s="349">
        <f>SUM(D350:D361)</f>
        <v>39098859.265000001</v>
      </c>
      <c r="E362" s="349">
        <f>SUM(E350:E361)</f>
        <v>32132289.201824691</v>
      </c>
      <c r="F362" s="477">
        <f>SUM(F350:F361)</f>
        <v>6966570.0631753076</v>
      </c>
      <c r="G362" s="351">
        <f>+D362/E362-1</f>
        <v>0.21680901785172835</v>
      </c>
    </row>
    <row r="363" spans="2:7" x14ac:dyDescent="0.25">
      <c r="B363" s="113"/>
      <c r="C363" s="113"/>
      <c r="D363" s="352"/>
      <c r="E363" s="353"/>
      <c r="F363" s="354"/>
      <c r="G363" s="355"/>
    </row>
    <row r="364" spans="2:7" ht="14.25" customHeight="1" x14ac:dyDescent="0.25">
      <c r="B364" s="198" t="s">
        <v>357</v>
      </c>
      <c r="C364" s="196"/>
      <c r="F364" s="344"/>
    </row>
    <row r="365" spans="2:7" ht="14.25" customHeight="1" x14ac:dyDescent="0.25">
      <c r="B365" s="367"/>
      <c r="C365" s="196"/>
      <c r="F365" s="344"/>
    </row>
    <row r="366" spans="2:7" ht="22.5" customHeight="1" x14ac:dyDescent="0.25">
      <c r="B366" s="729" t="s">
        <v>358</v>
      </c>
      <c r="C366" s="729"/>
      <c r="D366" s="729"/>
      <c r="E366" s="729"/>
      <c r="F366" s="729"/>
      <c r="G366" s="729"/>
    </row>
    <row r="367" spans="2:7" ht="14.25" customHeight="1" x14ac:dyDescent="0.25">
      <c r="B367" s="729" t="s">
        <v>359</v>
      </c>
      <c r="C367" s="729"/>
      <c r="D367" s="729"/>
      <c r="E367" s="729"/>
      <c r="F367" s="729"/>
      <c r="G367" s="729"/>
    </row>
    <row r="368" spans="2:7" ht="20.25" customHeight="1" x14ac:dyDescent="0.25">
      <c r="B368" s="729"/>
      <c r="C368" s="729"/>
      <c r="D368" s="729"/>
      <c r="E368" s="729"/>
      <c r="F368" s="729"/>
      <c r="G368" s="729"/>
    </row>
    <row r="369" spans="2:7" x14ac:dyDescent="0.25">
      <c r="B369" s="478"/>
      <c r="C369" s="478"/>
      <c r="D369" s="479"/>
      <c r="E369" s="479"/>
      <c r="F369" s="478"/>
      <c r="G369" s="480"/>
    </row>
    <row r="370" spans="2:7" x14ac:dyDescent="0.25">
      <c r="D370" s="339">
        <v>2022</v>
      </c>
      <c r="E370" s="339">
        <v>2021</v>
      </c>
      <c r="F370" s="340" t="s">
        <v>34</v>
      </c>
      <c r="G370" s="341" t="s">
        <v>155</v>
      </c>
    </row>
    <row r="371" spans="2:7" x14ac:dyDescent="0.25">
      <c r="B371" s="110" t="s">
        <v>360</v>
      </c>
      <c r="D371" s="323">
        <v>18000</v>
      </c>
      <c r="E371" s="321">
        <v>0</v>
      </c>
      <c r="F371" s="344">
        <f>+D371-E371</f>
        <v>18000</v>
      </c>
      <c r="G371" s="322">
        <v>1</v>
      </c>
    </row>
    <row r="372" spans="2:7" x14ac:dyDescent="0.25">
      <c r="B372" s="110" t="s">
        <v>361</v>
      </c>
      <c r="D372" s="323">
        <v>162903.12</v>
      </c>
      <c r="E372" s="321">
        <v>0</v>
      </c>
      <c r="F372" s="344">
        <f t="shared" ref="F372:F384" si="10">+D372-E372</f>
        <v>162903.12</v>
      </c>
      <c r="G372" s="322">
        <v>1</v>
      </c>
    </row>
    <row r="373" spans="2:7" hidden="1" x14ac:dyDescent="0.25">
      <c r="B373" s="110" t="s">
        <v>362</v>
      </c>
      <c r="D373" s="323">
        <v>0</v>
      </c>
      <c r="F373" s="344"/>
    </row>
    <row r="374" spans="2:7" x14ac:dyDescent="0.25">
      <c r="B374" s="110" t="s">
        <v>363</v>
      </c>
      <c r="D374" s="323">
        <v>68769.44700000016</v>
      </c>
      <c r="E374" s="321">
        <v>31488.241980875871</v>
      </c>
      <c r="F374" s="344">
        <f t="shared" si="10"/>
        <v>37281.205019124289</v>
      </c>
      <c r="G374" s="322">
        <f>+D374/E374-1</f>
        <v>1.1839722599237748</v>
      </c>
    </row>
    <row r="375" spans="2:7" x14ac:dyDescent="0.25">
      <c r="B375" s="110" t="s">
        <v>364</v>
      </c>
      <c r="D375" s="323">
        <v>15200</v>
      </c>
      <c r="E375" s="321">
        <v>0</v>
      </c>
      <c r="F375" s="344">
        <f t="shared" si="10"/>
        <v>15200</v>
      </c>
      <c r="G375" s="322">
        <v>1</v>
      </c>
    </row>
    <row r="376" spans="2:7" x14ac:dyDescent="0.25">
      <c r="B376" s="110" t="s">
        <v>365</v>
      </c>
      <c r="D376" s="323">
        <v>155600</v>
      </c>
      <c r="E376" s="321">
        <v>155600</v>
      </c>
      <c r="F376" s="344">
        <f t="shared" si="10"/>
        <v>0</v>
      </c>
      <c r="G376" s="322">
        <f>+D376/E376-1</f>
        <v>0</v>
      </c>
    </row>
    <row r="377" spans="2:7" ht="18" customHeight="1" x14ac:dyDescent="0.25">
      <c r="B377" s="110" t="s">
        <v>366</v>
      </c>
      <c r="D377" s="323">
        <v>8662227.0199999996</v>
      </c>
      <c r="E377" s="321">
        <v>4799.9949999999399</v>
      </c>
      <c r="F377" s="344">
        <f t="shared" si="10"/>
        <v>8657427.0250000004</v>
      </c>
      <c r="G377" s="322">
        <v>1</v>
      </c>
    </row>
    <row r="378" spans="2:7" ht="18" hidden="1" customHeight="1" x14ac:dyDescent="0.25">
      <c r="B378" s="113" t="s">
        <v>367</v>
      </c>
      <c r="C378" s="113"/>
      <c r="D378" s="323">
        <v>0</v>
      </c>
      <c r="F378" s="344">
        <f t="shared" si="10"/>
        <v>0</v>
      </c>
      <c r="G378" s="322">
        <v>1</v>
      </c>
    </row>
    <row r="379" spans="2:7" ht="18" hidden="1" customHeight="1" x14ac:dyDescent="0.25">
      <c r="B379" s="110" t="s">
        <v>368</v>
      </c>
      <c r="D379" s="323">
        <v>0</v>
      </c>
      <c r="F379" s="344">
        <f t="shared" si="10"/>
        <v>0</v>
      </c>
      <c r="G379" s="322">
        <v>1</v>
      </c>
    </row>
    <row r="380" spans="2:7" hidden="1" x14ac:dyDescent="0.25">
      <c r="B380" s="110" t="s">
        <v>369</v>
      </c>
      <c r="D380" s="323">
        <v>0</v>
      </c>
      <c r="F380" s="344">
        <f t="shared" si="10"/>
        <v>0</v>
      </c>
      <c r="G380" s="322">
        <v>0</v>
      </c>
    </row>
    <row r="381" spans="2:7" hidden="1" x14ac:dyDescent="0.25">
      <c r="B381" s="110" t="s">
        <v>370</v>
      </c>
      <c r="D381" s="323">
        <v>0</v>
      </c>
      <c r="F381" s="344">
        <f t="shared" si="10"/>
        <v>0</v>
      </c>
      <c r="G381" s="322">
        <v>0</v>
      </c>
    </row>
    <row r="382" spans="2:7" hidden="1" x14ac:dyDescent="0.25">
      <c r="B382" s="110" t="s">
        <v>371</v>
      </c>
      <c r="D382" s="323">
        <v>0</v>
      </c>
      <c r="F382" s="344">
        <f t="shared" si="10"/>
        <v>0</v>
      </c>
      <c r="G382" s="322">
        <v>1</v>
      </c>
    </row>
    <row r="383" spans="2:7" hidden="1" x14ac:dyDescent="0.25">
      <c r="B383" s="110" t="s">
        <v>372</v>
      </c>
      <c r="D383" s="323">
        <v>0</v>
      </c>
      <c r="F383" s="344">
        <f t="shared" si="10"/>
        <v>0</v>
      </c>
      <c r="G383" s="322">
        <v>1</v>
      </c>
    </row>
    <row r="384" spans="2:7" x14ac:dyDescent="0.25">
      <c r="B384" s="110" t="s">
        <v>373</v>
      </c>
      <c r="D384" s="323">
        <v>2121225.1399999997</v>
      </c>
      <c r="E384" s="321">
        <v>7056.7399999987065</v>
      </c>
      <c r="F384" s="344">
        <f t="shared" si="10"/>
        <v>2114168.4000000008</v>
      </c>
      <c r="G384" s="322">
        <v>1</v>
      </c>
    </row>
    <row r="385" spans="2:7" x14ac:dyDescent="0.25">
      <c r="B385" s="481" t="s">
        <v>162</v>
      </c>
      <c r="C385" s="481"/>
      <c r="D385" s="365">
        <f>SUM(D371:D384)</f>
        <v>11203924.726999998</v>
      </c>
      <c r="E385" s="482">
        <f>SUM(E371:E384)</f>
        <v>198944.97698087452</v>
      </c>
      <c r="F385" s="350">
        <f>SUM(F372:F384)</f>
        <v>10986979.750019126</v>
      </c>
      <c r="G385" s="351">
        <f>+D385/E385-1</f>
        <v>55.316700713067426</v>
      </c>
    </row>
    <row r="387" spans="2:7" ht="18.75" thickBot="1" x14ac:dyDescent="0.3">
      <c r="B387" s="199" t="s">
        <v>374</v>
      </c>
      <c r="C387" s="199"/>
      <c r="D387" s="483">
        <f>+D385+D362</f>
        <v>50302783.991999999</v>
      </c>
      <c r="E387" s="484">
        <f>+E385+E362</f>
        <v>32331234.178805567</v>
      </c>
      <c r="F387" s="485">
        <f>+F385+F362</f>
        <v>17953549.813194431</v>
      </c>
      <c r="G387" s="351">
        <f>+D387/E387-1</f>
        <v>0.55585721577481606</v>
      </c>
    </row>
    <row r="388" spans="2:7" x14ac:dyDescent="0.25">
      <c r="B388" s="344"/>
      <c r="C388" s="344"/>
      <c r="F388" s="486"/>
    </row>
    <row r="389" spans="2:7" ht="12.75" customHeight="1" x14ac:dyDescent="0.25">
      <c r="B389" s="196"/>
      <c r="C389" s="196"/>
    </row>
    <row r="390" spans="2:7" x14ac:dyDescent="0.25">
      <c r="B390" s="487" t="s">
        <v>375</v>
      </c>
      <c r="C390" s="487"/>
      <c r="D390" s="488"/>
      <c r="E390" s="489"/>
      <c r="F390" s="487"/>
      <c r="G390" s="490"/>
    </row>
    <row r="391" spans="2:7" ht="28.5" customHeight="1" x14ac:dyDescent="0.25">
      <c r="B391" s="487"/>
      <c r="C391" s="487"/>
      <c r="D391" s="488"/>
      <c r="E391" s="489"/>
      <c r="F391" s="487"/>
      <c r="G391" s="490"/>
    </row>
    <row r="392" spans="2:7" x14ac:dyDescent="0.25">
      <c r="B392" s="712" t="s">
        <v>376</v>
      </c>
      <c r="C392" s="712"/>
      <c r="D392" s="712"/>
      <c r="E392" s="712"/>
      <c r="F392" s="712"/>
      <c r="G392" s="712"/>
    </row>
    <row r="393" spans="2:7" x14ac:dyDescent="0.25">
      <c r="B393" s="712"/>
      <c r="C393" s="712"/>
      <c r="D393" s="712"/>
      <c r="E393" s="712"/>
      <c r="F393" s="712"/>
      <c r="G393" s="712"/>
    </row>
    <row r="394" spans="2:7" x14ac:dyDescent="0.25">
      <c r="B394" s="712"/>
      <c r="C394" s="712"/>
      <c r="D394" s="712"/>
      <c r="E394" s="712"/>
      <c r="F394" s="712"/>
      <c r="G394" s="712"/>
    </row>
    <row r="395" spans="2:7" x14ac:dyDescent="0.25">
      <c r="B395" s="487"/>
      <c r="C395" s="487"/>
      <c r="D395" s="488"/>
      <c r="E395" s="488"/>
      <c r="F395" s="487"/>
      <c r="G395" s="490"/>
    </row>
    <row r="396" spans="2:7" x14ac:dyDescent="0.25">
      <c r="B396" s="360"/>
      <c r="C396" s="360"/>
      <c r="D396" s="339">
        <v>2022</v>
      </c>
      <c r="E396" s="339">
        <v>2021</v>
      </c>
      <c r="F396" s="340" t="s">
        <v>34</v>
      </c>
      <c r="G396" s="341" t="s">
        <v>155</v>
      </c>
    </row>
    <row r="397" spans="2:7" x14ac:dyDescent="0.25">
      <c r="B397" s="110" t="s">
        <v>377</v>
      </c>
      <c r="D397" s="320">
        <v>3775339.2099999995</v>
      </c>
      <c r="E397" s="321">
        <v>3775339.2099999995</v>
      </c>
      <c r="F397" s="491">
        <f t="shared" ref="F397:F404" si="11">+D397-E397</f>
        <v>0</v>
      </c>
      <c r="G397" s="322">
        <f>+D397/E397-1</f>
        <v>0</v>
      </c>
    </row>
    <row r="398" spans="2:7" x14ac:dyDescent="0.25">
      <c r="B398" s="110" t="s">
        <v>378</v>
      </c>
      <c r="D398" s="320">
        <v>387000</v>
      </c>
      <c r="E398" s="321">
        <v>387000</v>
      </c>
      <c r="F398" s="491">
        <f t="shared" si="11"/>
        <v>0</v>
      </c>
      <c r="G398" s="322">
        <f>+D398/E398-1</f>
        <v>0</v>
      </c>
    </row>
    <row r="399" spans="2:7" x14ac:dyDescent="0.25">
      <c r="B399" s="110" t="s">
        <v>379</v>
      </c>
      <c r="D399" s="320">
        <v>62990.310000000041</v>
      </c>
      <c r="E399" s="321">
        <v>62990.310000000041</v>
      </c>
      <c r="F399" s="491">
        <f t="shared" si="11"/>
        <v>0</v>
      </c>
      <c r="G399" s="322">
        <f>+D399/E399-1</f>
        <v>0</v>
      </c>
    </row>
    <row r="400" spans="2:7" x14ac:dyDescent="0.25">
      <c r="B400" s="110" t="s">
        <v>380</v>
      </c>
      <c r="D400" s="320">
        <v>27574.11</v>
      </c>
      <c r="E400" s="321">
        <v>27574.11</v>
      </c>
      <c r="F400" s="491">
        <f t="shared" si="11"/>
        <v>0</v>
      </c>
      <c r="G400" s="322">
        <f>+D400/E400-1</f>
        <v>0</v>
      </c>
    </row>
    <row r="401" spans="2:7" x14ac:dyDescent="0.25">
      <c r="B401" s="110" t="s">
        <v>381</v>
      </c>
      <c r="D401" s="320">
        <v>34333.620000000003</v>
      </c>
      <c r="E401" s="321">
        <v>34333.620000000003</v>
      </c>
      <c r="F401" s="491">
        <f t="shared" si="11"/>
        <v>0</v>
      </c>
      <c r="G401" s="322">
        <f>+D401/E401-1</f>
        <v>0</v>
      </c>
    </row>
    <row r="402" spans="2:7" hidden="1" x14ac:dyDescent="0.25">
      <c r="B402" s="110" t="s">
        <v>382</v>
      </c>
      <c r="D402" s="320">
        <v>0</v>
      </c>
      <c r="E402" s="321">
        <v>0</v>
      </c>
      <c r="F402" s="491">
        <f t="shared" si="11"/>
        <v>0</v>
      </c>
      <c r="G402" s="322">
        <v>0</v>
      </c>
    </row>
    <row r="403" spans="2:7" hidden="1" x14ac:dyDescent="0.25">
      <c r="B403" s="110" t="s">
        <v>383</v>
      </c>
      <c r="D403" s="323">
        <v>0</v>
      </c>
      <c r="E403" s="321">
        <v>0</v>
      </c>
      <c r="F403" s="491">
        <f t="shared" si="11"/>
        <v>0</v>
      </c>
      <c r="G403" s="322" t="e">
        <f>+D403/E403-1</f>
        <v>#DIV/0!</v>
      </c>
    </row>
    <row r="404" spans="2:7" x14ac:dyDescent="0.25">
      <c r="B404" s="110" t="s">
        <v>384</v>
      </c>
      <c r="D404" s="320">
        <v>72563</v>
      </c>
      <c r="E404" s="321">
        <v>72563</v>
      </c>
      <c r="F404" s="491">
        <f t="shared" si="11"/>
        <v>0</v>
      </c>
      <c r="G404" s="322">
        <f>+D404/E404-1</f>
        <v>0</v>
      </c>
    </row>
    <row r="405" spans="2:7" ht="18.75" thickBot="1" x14ac:dyDescent="0.3">
      <c r="B405" s="196" t="s">
        <v>385</v>
      </c>
      <c r="C405" s="196"/>
      <c r="D405" s="492">
        <f>SUM(D397:D404)</f>
        <v>4359800.25</v>
      </c>
      <c r="E405" s="493">
        <f>SUM(E397:E404)</f>
        <v>4359800.25</v>
      </c>
      <c r="F405" s="494">
        <f>SUM(F397:F404)</f>
        <v>0</v>
      </c>
      <c r="G405" s="472">
        <f>+D405/E405-1</f>
        <v>0</v>
      </c>
    </row>
    <row r="406" spans="2:7" ht="14.25" customHeight="1" thickTop="1" x14ac:dyDescent="0.25">
      <c r="D406" s="495"/>
      <c r="E406" s="496"/>
      <c r="F406" s="497"/>
      <c r="G406" s="498"/>
    </row>
    <row r="407" spans="2:7" x14ac:dyDescent="0.25">
      <c r="B407" s="716" t="s">
        <v>386</v>
      </c>
      <c r="C407" s="716"/>
      <c r="D407" s="716"/>
      <c r="E407" s="716"/>
      <c r="F407" s="716"/>
      <c r="G407" s="716"/>
    </row>
    <row r="408" spans="2:7" ht="18.75" x14ac:dyDescent="0.3">
      <c r="D408" s="343"/>
      <c r="G408" s="466"/>
    </row>
    <row r="409" spans="2:7" ht="18.75" x14ac:dyDescent="0.3">
      <c r="B409" s="110" t="s">
        <v>387</v>
      </c>
      <c r="D409" s="343"/>
      <c r="G409" s="466"/>
    </row>
    <row r="410" spans="2:7" ht="14.25" customHeight="1" x14ac:dyDescent="0.3">
      <c r="D410" s="343"/>
      <c r="G410" s="466"/>
    </row>
    <row r="411" spans="2:7" ht="18.75" x14ac:dyDescent="0.3">
      <c r="B411" s="730" t="s">
        <v>388</v>
      </c>
      <c r="C411" s="730"/>
      <c r="D411" s="730"/>
      <c r="E411" s="730"/>
      <c r="F411" s="499"/>
      <c r="G411" s="466"/>
    </row>
    <row r="412" spans="2:7" hidden="1" x14ac:dyDescent="0.25"/>
    <row r="413" spans="2:7" hidden="1" x14ac:dyDescent="0.25">
      <c r="B413" s="730" t="s">
        <v>389</v>
      </c>
      <c r="C413" s="730"/>
      <c r="D413" s="730"/>
      <c r="E413" s="730"/>
    </row>
    <row r="414" spans="2:7" hidden="1" x14ac:dyDescent="0.25">
      <c r="B414" s="196"/>
      <c r="C414" s="196"/>
    </row>
    <row r="415" spans="2:7" hidden="1" x14ac:dyDescent="0.25">
      <c r="B415" s="196"/>
      <c r="C415" s="196"/>
    </row>
    <row r="416" spans="2:7" x14ac:dyDescent="0.25">
      <c r="B416" s="712" t="s">
        <v>390</v>
      </c>
      <c r="C416" s="712"/>
      <c r="D416" s="712"/>
      <c r="E416" s="712"/>
      <c r="F416" s="712"/>
      <c r="G416" s="712"/>
    </row>
    <row r="417" spans="2:10" x14ac:dyDescent="0.25">
      <c r="B417" s="712"/>
      <c r="C417" s="712"/>
      <c r="D417" s="712"/>
      <c r="E417" s="712"/>
      <c r="F417" s="712"/>
      <c r="G417" s="712"/>
    </row>
    <row r="418" spans="2:10" x14ac:dyDescent="0.25">
      <c r="B418" s="712"/>
      <c r="C418" s="712"/>
      <c r="D418" s="712"/>
      <c r="E418" s="712"/>
      <c r="F418" s="712"/>
      <c r="G418" s="712"/>
    </row>
    <row r="419" spans="2:10" x14ac:dyDescent="0.25">
      <c r="B419" s="712"/>
      <c r="C419" s="712"/>
      <c r="D419" s="712"/>
      <c r="E419" s="712"/>
      <c r="F419" s="712"/>
      <c r="G419" s="712"/>
    </row>
    <row r="420" spans="2:10" ht="18.75" thickBot="1" x14ac:dyDescent="0.3">
      <c r="B420" s="196" t="s">
        <v>391</v>
      </c>
      <c r="C420" s="196"/>
    </row>
    <row r="421" spans="2:10" ht="18.75" thickBot="1" x14ac:dyDescent="0.3">
      <c r="D421" s="339">
        <v>2022</v>
      </c>
      <c r="E421" s="339">
        <v>2021</v>
      </c>
      <c r="F421" s="463" t="s">
        <v>34</v>
      </c>
      <c r="G421" s="464" t="s">
        <v>155</v>
      </c>
    </row>
    <row r="422" spans="2:10" ht="18.75" x14ac:dyDescent="0.3">
      <c r="B422" s="196"/>
      <c r="C422" s="196"/>
      <c r="D422" s="321"/>
      <c r="F422" s="465"/>
      <c r="G422" s="466"/>
    </row>
    <row r="423" spans="2:10" s="10" customFormat="1" x14ac:dyDescent="0.25">
      <c r="B423" s="198" t="s">
        <v>392</v>
      </c>
      <c r="C423" s="198"/>
      <c r="D423" s="500">
        <v>8466776.066022655</v>
      </c>
      <c r="E423" s="501">
        <v>6131584.4350399869</v>
      </c>
      <c r="F423" s="502">
        <f>+D423-E423</f>
        <v>2335191.6309826681</v>
      </c>
      <c r="G423" s="468">
        <f>+D423/E423-1</f>
        <v>0.38084636291360785</v>
      </c>
      <c r="I423" s="337"/>
      <c r="J423" s="338"/>
    </row>
    <row r="424" spans="2:10" ht="27.75" customHeight="1" thickBot="1" x14ac:dyDescent="0.3">
      <c r="B424" s="196" t="s">
        <v>162</v>
      </c>
      <c r="C424" s="196"/>
      <c r="D424" s="503">
        <f>SUM(D423)</f>
        <v>8466776.066022655</v>
      </c>
      <c r="E424" s="504">
        <f>SUM(E423)</f>
        <v>6131584.4350399869</v>
      </c>
      <c r="F424" s="505">
        <f>SUM(F422:F423)</f>
        <v>2335191.6309826681</v>
      </c>
      <c r="G424" s="472">
        <f>+D424/E424-1</f>
        <v>0.38084636291360785</v>
      </c>
    </row>
    <row r="425" spans="2:10" ht="27.75" customHeight="1" thickTop="1" x14ac:dyDescent="0.25">
      <c r="B425" s="196"/>
      <c r="C425" s="196"/>
      <c r="F425" s="430"/>
    </row>
    <row r="426" spans="2:10" x14ac:dyDescent="0.25">
      <c r="B426" s="718" t="s">
        <v>393</v>
      </c>
      <c r="C426" s="718"/>
      <c r="D426" s="718"/>
      <c r="E426" s="718"/>
      <c r="F426" s="718"/>
      <c r="G426" s="718"/>
    </row>
    <row r="427" spans="2:10" x14ac:dyDescent="0.25">
      <c r="B427" s="506"/>
      <c r="C427" s="506"/>
      <c r="D427" s="507"/>
      <c r="E427" s="507"/>
      <c r="F427" s="506"/>
      <c r="G427" s="508"/>
    </row>
    <row r="428" spans="2:10" x14ac:dyDescent="0.25">
      <c r="B428" s="198" t="s">
        <v>394</v>
      </c>
      <c r="C428" s="506"/>
      <c r="D428" s="507"/>
      <c r="E428" s="507"/>
      <c r="F428" s="506"/>
      <c r="G428" s="508"/>
    </row>
    <row r="429" spans="2:10" x14ac:dyDescent="0.25">
      <c r="B429" s="506"/>
      <c r="C429" s="506"/>
      <c r="D429" s="507"/>
      <c r="E429" s="507"/>
      <c r="F429" s="506"/>
      <c r="G429" s="508"/>
    </row>
    <row r="431" spans="2:10" x14ac:dyDescent="0.25">
      <c r="B431" s="509" t="s">
        <v>395</v>
      </c>
      <c r="C431" s="509"/>
      <c r="D431" s="510"/>
      <c r="E431" s="510"/>
      <c r="F431" s="509"/>
      <c r="G431" s="511"/>
      <c r="H431" s="512"/>
    </row>
    <row r="432" spans="2:10" hidden="1" x14ac:dyDescent="0.25">
      <c r="B432" s="509"/>
      <c r="C432" s="509"/>
      <c r="D432" s="510"/>
      <c r="E432" s="510"/>
      <c r="F432" s="509"/>
      <c r="G432" s="511"/>
      <c r="H432" s="512"/>
    </row>
    <row r="433" spans="2:12" hidden="1" x14ac:dyDescent="0.25">
      <c r="B433" s="509"/>
      <c r="C433" s="509"/>
      <c r="D433" s="510"/>
      <c r="E433" s="510"/>
      <c r="F433" s="509"/>
      <c r="G433" s="511"/>
      <c r="H433" s="512"/>
    </row>
    <row r="434" spans="2:12" hidden="1" x14ac:dyDescent="0.25">
      <c r="B434" s="509"/>
      <c r="C434" s="509"/>
      <c r="D434" s="510"/>
      <c r="E434" s="510"/>
      <c r="F434" s="509"/>
      <c r="G434" s="511"/>
      <c r="H434" s="512"/>
    </row>
    <row r="435" spans="2:12" hidden="1" x14ac:dyDescent="0.25">
      <c r="B435" s="512"/>
      <c r="C435" s="512"/>
      <c r="D435" s="332"/>
      <c r="E435" s="513"/>
      <c r="F435" s="512"/>
      <c r="G435" s="514"/>
      <c r="H435" s="512"/>
    </row>
    <row r="436" spans="2:12" x14ac:dyDescent="0.25">
      <c r="B436" s="512"/>
      <c r="C436" s="512"/>
      <c r="D436" s="339">
        <v>2022</v>
      </c>
      <c r="E436" s="339">
        <v>2021</v>
      </c>
      <c r="F436" s="340" t="s">
        <v>34</v>
      </c>
      <c r="G436" s="341" t="s">
        <v>155</v>
      </c>
      <c r="H436" s="512"/>
      <c r="I436" s="515"/>
    </row>
    <row r="437" spans="2:12" hidden="1" x14ac:dyDescent="0.25">
      <c r="B437" s="512"/>
      <c r="C437" s="512"/>
      <c r="D437" s="516"/>
      <c r="E437" s="516"/>
      <c r="F437" s="517"/>
      <c r="G437" s="421"/>
      <c r="H437" s="512"/>
      <c r="I437" s="515"/>
    </row>
    <row r="438" spans="2:12" x14ac:dyDescent="0.25">
      <c r="B438" s="512" t="s">
        <v>396</v>
      </c>
      <c r="C438" s="512"/>
      <c r="D438" s="513">
        <f>+E456</f>
        <v>133852978.41680822</v>
      </c>
      <c r="E438" s="513">
        <v>116917131.43121788</v>
      </c>
      <c r="F438" s="518">
        <f>+D438-E438</f>
        <v>16935846.985590339</v>
      </c>
      <c r="G438" s="514">
        <f>+D438/E438-1</f>
        <v>0.1448534254841316</v>
      </c>
      <c r="H438" s="512"/>
      <c r="I438" s="519"/>
      <c r="L438" s="336"/>
    </row>
    <row r="439" spans="2:12" x14ac:dyDescent="0.25">
      <c r="B439" s="512" t="s">
        <v>397</v>
      </c>
      <c r="C439" s="512"/>
      <c r="D439" s="332">
        <v>0</v>
      </c>
      <c r="E439" s="332">
        <v>-3491375.0334996656</v>
      </c>
      <c r="F439" s="518">
        <f>+D439-E439</f>
        <v>3491375.0334996656</v>
      </c>
      <c r="G439" s="514">
        <v>-1</v>
      </c>
      <c r="H439" s="512"/>
      <c r="I439" s="519"/>
      <c r="L439" s="336"/>
    </row>
    <row r="440" spans="2:12" hidden="1" x14ac:dyDescent="0.25">
      <c r="B440" s="512" t="s">
        <v>398</v>
      </c>
      <c r="C440" s="512"/>
      <c r="D440" s="332">
        <v>0</v>
      </c>
      <c r="E440" s="513">
        <v>0</v>
      </c>
      <c r="F440" s="520">
        <f>+D440-E440</f>
        <v>0</v>
      </c>
      <c r="G440" s="514">
        <v>0</v>
      </c>
      <c r="H440" s="512"/>
      <c r="I440" s="521"/>
      <c r="L440" s="336"/>
    </row>
    <row r="441" spans="2:12" ht="18.75" thickBot="1" x14ac:dyDescent="0.3">
      <c r="B441" s="522" t="s">
        <v>399</v>
      </c>
      <c r="C441" s="522"/>
      <c r="D441" s="483">
        <f>SUM(D438:D440)</f>
        <v>133852978.41680822</v>
      </c>
      <c r="E441" s="483">
        <f>SUM(E438:E439)</f>
        <v>113425756.39771822</v>
      </c>
      <c r="F441" s="523">
        <f>+D441-E441</f>
        <v>20427222.019089997</v>
      </c>
      <c r="G441" s="524">
        <f>+D441/E441-1</f>
        <v>0.18009332860398652</v>
      </c>
      <c r="H441" s="512"/>
      <c r="I441" s="521"/>
      <c r="L441" s="336"/>
    </row>
    <row r="442" spans="2:12" x14ac:dyDescent="0.25">
      <c r="B442" s="512"/>
      <c r="C442" s="512"/>
      <c r="D442" s="332"/>
      <c r="E442" s="513"/>
      <c r="F442" s="518"/>
      <c r="G442" s="514"/>
      <c r="H442" s="512"/>
      <c r="I442" s="519"/>
    </row>
    <row r="443" spans="2:12" x14ac:dyDescent="0.25">
      <c r="B443" s="512"/>
      <c r="C443" s="512"/>
      <c r="D443" s="332"/>
      <c r="E443" s="513"/>
      <c r="F443" s="518"/>
      <c r="G443" s="514"/>
      <c r="H443" s="512"/>
      <c r="I443" s="519"/>
    </row>
    <row r="444" spans="2:12" x14ac:dyDescent="0.25">
      <c r="B444" s="525" t="s">
        <v>400</v>
      </c>
      <c r="C444" s="525"/>
      <c r="D444" s="332"/>
      <c r="E444" s="513"/>
      <c r="F444" s="518"/>
      <c r="G444" s="514"/>
      <c r="H444" s="512"/>
      <c r="I444" s="519"/>
    </row>
    <row r="445" spans="2:12" x14ac:dyDescent="0.25">
      <c r="D445" s="323"/>
      <c r="F445" s="526"/>
      <c r="I445" s="519"/>
    </row>
    <row r="446" spans="2:12" hidden="1" x14ac:dyDescent="0.25">
      <c r="D446" s="323"/>
      <c r="F446" s="526"/>
      <c r="I446" s="521"/>
    </row>
    <row r="447" spans="2:12" x14ac:dyDescent="0.25">
      <c r="B447" s="487" t="s">
        <v>401</v>
      </c>
      <c r="C447" s="487"/>
      <c r="D447" s="488"/>
      <c r="E447" s="488"/>
      <c r="F447" s="527"/>
      <c r="G447" s="490"/>
      <c r="I447" s="519"/>
    </row>
    <row r="448" spans="2:12" x14ac:dyDescent="0.25">
      <c r="B448" s="487"/>
      <c r="C448" s="487"/>
      <c r="D448" s="488"/>
      <c r="E448" s="488"/>
      <c r="F448" s="527"/>
      <c r="G448" s="490"/>
      <c r="I448" s="528"/>
    </row>
    <row r="449" spans="2:12" x14ac:dyDescent="0.25">
      <c r="D449" s="339">
        <v>2022</v>
      </c>
      <c r="E449" s="339">
        <v>2021</v>
      </c>
      <c r="F449" s="340" t="s">
        <v>34</v>
      </c>
      <c r="G449" s="341" t="s">
        <v>155</v>
      </c>
      <c r="I449" s="521"/>
    </row>
    <row r="450" spans="2:12" hidden="1" x14ac:dyDescent="0.25">
      <c r="D450" s="529"/>
      <c r="E450" s="529"/>
      <c r="F450" s="530"/>
      <c r="G450" s="531"/>
    </row>
    <row r="451" spans="2:12" x14ac:dyDescent="0.25">
      <c r="B451" s="110" t="s">
        <v>396</v>
      </c>
      <c r="D451" s="323">
        <f>+D438</f>
        <v>133852978.41680822</v>
      </c>
      <c r="E451" s="323">
        <f>+E438</f>
        <v>116917131.43121788</v>
      </c>
      <c r="F451" s="526">
        <f>+D451-E451</f>
        <v>16935846.985590339</v>
      </c>
      <c r="G451" s="322">
        <f>+D451/E451-1</f>
        <v>0.1448534254841316</v>
      </c>
    </row>
    <row r="452" spans="2:12" x14ac:dyDescent="0.25">
      <c r="B452" s="110" t="s">
        <v>397</v>
      </c>
      <c r="D452" s="323">
        <v>0</v>
      </c>
      <c r="E452" s="323">
        <f>+E439</f>
        <v>-3491375.0334996656</v>
      </c>
      <c r="F452" s="526">
        <f>+D452-E452</f>
        <v>3491375.0334996656</v>
      </c>
      <c r="G452" s="322">
        <f>+D452/E452-1</f>
        <v>-1</v>
      </c>
    </row>
    <row r="453" spans="2:12" ht="18.75" thickBot="1" x14ac:dyDescent="0.3">
      <c r="B453" s="199" t="s">
        <v>399</v>
      </c>
      <c r="C453" s="199"/>
      <c r="D453" s="484">
        <f>SUM(D451:D452)</f>
        <v>133852978.41680822</v>
      </c>
      <c r="E453" s="484">
        <f>SUM(E451:E452)</f>
        <v>113425756.39771822</v>
      </c>
      <c r="F453" s="532">
        <f>+D453-E453</f>
        <v>20427222.019089997</v>
      </c>
      <c r="G453" s="533">
        <f>+D453/E453-1</f>
        <v>0.18009332860398652</v>
      </c>
      <c r="K453" s="336"/>
      <c r="L453" s="336"/>
    </row>
    <row r="454" spans="2:12" x14ac:dyDescent="0.25">
      <c r="D454" s="323"/>
      <c r="F454" s="526"/>
      <c r="K454" s="336"/>
      <c r="L454" s="336"/>
    </row>
    <row r="455" spans="2:12" x14ac:dyDescent="0.25">
      <c r="B455" s="110" t="s">
        <v>398</v>
      </c>
      <c r="D455" s="534">
        <v>94883730.690576643</v>
      </c>
      <c r="E455" s="534">
        <v>20427222.019090004</v>
      </c>
      <c r="F455" s="526">
        <f>+D455-E455</f>
        <v>74456508.671486646</v>
      </c>
      <c r="G455" s="322">
        <f>+D455/E455-1</f>
        <v>3.6449649688980834</v>
      </c>
      <c r="K455" s="336"/>
      <c r="L455" s="336"/>
    </row>
    <row r="456" spans="2:12" ht="18.75" thickBot="1" x14ac:dyDescent="0.3">
      <c r="B456" s="199" t="s">
        <v>402</v>
      </c>
      <c r="C456" s="199"/>
      <c r="D456" s="504">
        <f>+D453+D455</f>
        <v>228736709.10738486</v>
      </c>
      <c r="E456" s="504">
        <f>+E453+E455</f>
        <v>133852978.41680822</v>
      </c>
      <c r="F456" s="535">
        <f>SUM(F453:F455)</f>
        <v>94883730.690576643</v>
      </c>
      <c r="G456" s="472">
        <f>+D456/E456-1</f>
        <v>0.70886529244882213</v>
      </c>
      <c r="K456" s="336"/>
      <c r="L456" s="336"/>
    </row>
    <row r="457" spans="2:12" ht="18.75" thickTop="1" x14ac:dyDescent="0.25">
      <c r="D457" s="323"/>
      <c r="F457" s="526"/>
      <c r="K457" s="336"/>
      <c r="L457" s="336"/>
    </row>
    <row r="458" spans="2:12" ht="17.25" hidden="1" customHeight="1" x14ac:dyDescent="0.25"/>
    <row r="459" spans="2:12" hidden="1" x14ac:dyDescent="0.25"/>
    <row r="460" spans="2:12" hidden="1" x14ac:dyDescent="0.25">
      <c r="B460"/>
    </row>
    <row r="462" spans="2:12" x14ac:dyDescent="0.25">
      <c r="B462" s="199" t="s">
        <v>403</v>
      </c>
      <c r="C462" s="199"/>
    </row>
    <row r="464" spans="2:12" x14ac:dyDescent="0.25">
      <c r="B464" s="199" t="s">
        <v>404</v>
      </c>
      <c r="C464" s="199"/>
    </row>
    <row r="465" spans="2:10" x14ac:dyDescent="0.25">
      <c r="B465" s="199"/>
      <c r="C465" s="199"/>
    </row>
    <row r="466" spans="2:10" ht="2.25" customHeight="1" x14ac:dyDescent="0.25">
      <c r="B466" s="712" t="s">
        <v>405</v>
      </c>
      <c r="C466" s="712"/>
      <c r="D466" s="712"/>
      <c r="E466" s="712"/>
      <c r="F466" s="712"/>
      <c r="G466" s="712"/>
    </row>
    <row r="467" spans="2:10" ht="13.5" hidden="1" customHeight="1" x14ac:dyDescent="0.25">
      <c r="B467" s="712"/>
      <c r="C467" s="712"/>
      <c r="D467" s="712"/>
      <c r="E467" s="712"/>
      <c r="F467" s="712"/>
      <c r="G467" s="712"/>
    </row>
    <row r="468" spans="2:10" hidden="1" x14ac:dyDescent="0.25">
      <c r="B468" s="712"/>
      <c r="C468" s="712"/>
      <c r="D468" s="712"/>
      <c r="E468" s="712"/>
      <c r="F468" s="712"/>
      <c r="G468" s="712"/>
    </row>
    <row r="469" spans="2:10" ht="16.5" customHeight="1" x14ac:dyDescent="0.25">
      <c r="B469" s="712"/>
      <c r="C469" s="712"/>
      <c r="D469" s="712"/>
      <c r="E469" s="712"/>
      <c r="F469" s="712"/>
      <c r="G469" s="712"/>
    </row>
    <row r="470" spans="2:10" hidden="1" x14ac:dyDescent="0.25">
      <c r="B470" s="199"/>
      <c r="C470" s="199"/>
    </row>
    <row r="471" spans="2:10" ht="15.75" hidden="1" customHeight="1" x14ac:dyDescent="0.25">
      <c r="B471" s="719" t="s">
        <v>406</v>
      </c>
      <c r="C471" s="719"/>
      <c r="D471" s="719"/>
      <c r="E471" s="719"/>
      <c r="F471" s="719"/>
      <c r="G471" s="719"/>
    </row>
    <row r="472" spans="2:10" x14ac:dyDescent="0.25">
      <c r="B472" s="196"/>
      <c r="C472" s="196"/>
    </row>
    <row r="473" spans="2:10" x14ac:dyDescent="0.25">
      <c r="B473" s="360"/>
      <c r="C473" s="360"/>
    </row>
    <row r="474" spans="2:10" x14ac:dyDescent="0.25">
      <c r="B474" s="720" t="s">
        <v>407</v>
      </c>
      <c r="C474" s="721"/>
      <c r="D474" s="339">
        <v>2022</v>
      </c>
      <c r="E474" s="536" t="s">
        <v>408</v>
      </c>
      <c r="F474" s="340" t="s">
        <v>34</v>
      </c>
      <c r="G474" s="341" t="s">
        <v>155</v>
      </c>
    </row>
    <row r="475" spans="2:10" x14ac:dyDescent="0.25">
      <c r="B475" s="537" t="s">
        <v>409</v>
      </c>
      <c r="C475" s="537"/>
      <c r="D475" s="538">
        <v>28466326.735947717</v>
      </c>
      <c r="E475" s="538">
        <v>25271372.71911766</v>
      </c>
      <c r="F475" s="538">
        <f t="shared" ref="F475:F489" si="12">+D475-E475</f>
        <v>3194954.0168300569</v>
      </c>
      <c r="G475" s="539">
        <f>+D475/E475-1</f>
        <v>0.12642581993233359</v>
      </c>
      <c r="H475" s="113"/>
      <c r="I475" s="363"/>
      <c r="J475" s="111"/>
    </row>
    <row r="476" spans="2:10" x14ac:dyDescent="0.25">
      <c r="B476" s="537" t="s">
        <v>410</v>
      </c>
      <c r="C476" s="537"/>
      <c r="D476" s="538">
        <v>14417303.262794117</v>
      </c>
      <c r="E476" s="538">
        <v>14198204.666470587</v>
      </c>
      <c r="F476" s="538">
        <f t="shared" si="12"/>
        <v>219098.59632352926</v>
      </c>
      <c r="G476" s="539">
        <f t="shared" ref="G476:G489" si="13">+D476/E476-1</f>
        <v>1.5431429639899186E-2</v>
      </c>
      <c r="H476" s="113"/>
      <c r="I476" s="363"/>
      <c r="J476" s="111"/>
    </row>
    <row r="477" spans="2:10" x14ac:dyDescent="0.25">
      <c r="B477" s="537" t="s">
        <v>411</v>
      </c>
      <c r="C477" s="537"/>
      <c r="D477" s="538">
        <v>17965155.77</v>
      </c>
      <c r="E477" s="538">
        <v>16147545</v>
      </c>
      <c r="F477" s="538">
        <f t="shared" si="12"/>
        <v>1817610.7699999996</v>
      </c>
      <c r="G477" s="539">
        <f t="shared" si="13"/>
        <v>0.11256266943365079</v>
      </c>
      <c r="H477" s="113"/>
      <c r="I477" s="363"/>
      <c r="J477" s="111"/>
    </row>
    <row r="478" spans="2:10" x14ac:dyDescent="0.25">
      <c r="B478" s="537" t="s">
        <v>412</v>
      </c>
      <c r="C478" s="537"/>
      <c r="D478" s="538">
        <v>46185066.983920664</v>
      </c>
      <c r="E478" s="538">
        <v>48519251.00739418</v>
      </c>
      <c r="F478" s="538">
        <f t="shared" si="12"/>
        <v>-2334184.0234735161</v>
      </c>
      <c r="G478" s="539">
        <f t="shared" si="13"/>
        <v>-4.8108410064240159E-2</v>
      </c>
      <c r="H478" s="113"/>
      <c r="I478" s="363"/>
      <c r="J478" s="111"/>
    </row>
    <row r="479" spans="2:10" x14ac:dyDescent="0.25">
      <c r="B479" s="537" t="s">
        <v>413</v>
      </c>
      <c r="C479" s="537"/>
      <c r="D479" s="538">
        <v>95588338.975577548</v>
      </c>
      <c r="E479" s="538">
        <v>100017378.11676499</v>
      </c>
      <c r="F479" s="538">
        <f t="shared" si="12"/>
        <v>-4429039.1411874443</v>
      </c>
      <c r="G479" s="539">
        <f t="shared" si="13"/>
        <v>-4.4282695913271941E-2</v>
      </c>
      <c r="H479" s="113"/>
      <c r="I479" s="363"/>
      <c r="J479" s="111"/>
    </row>
    <row r="480" spans="2:10" x14ac:dyDescent="0.25">
      <c r="B480" s="537" t="s">
        <v>414</v>
      </c>
      <c r="C480" s="537"/>
      <c r="D480" s="538">
        <v>26238129.565961041</v>
      </c>
      <c r="E480" s="538">
        <v>31399890.085199974</v>
      </c>
      <c r="F480" s="538">
        <f t="shared" si="12"/>
        <v>-5161760.5192389339</v>
      </c>
      <c r="G480" s="539">
        <f t="shared" si="13"/>
        <v>-0.16438785311773685</v>
      </c>
      <c r="H480" s="113"/>
      <c r="I480" s="363"/>
      <c r="J480" s="111"/>
    </row>
    <row r="481" spans="1:10" x14ac:dyDescent="0.25">
      <c r="B481" s="537" t="s">
        <v>415</v>
      </c>
      <c r="C481" s="537"/>
      <c r="D481" s="538">
        <v>41279881.949821271</v>
      </c>
      <c r="E481" s="538">
        <v>0</v>
      </c>
      <c r="F481" s="538">
        <f t="shared" si="12"/>
        <v>41279881.949821271</v>
      </c>
      <c r="G481" s="539">
        <v>1</v>
      </c>
      <c r="H481" s="113"/>
      <c r="I481" s="363"/>
      <c r="J481" s="111"/>
    </row>
    <row r="482" spans="1:10" x14ac:dyDescent="0.25">
      <c r="B482" s="537" t="s">
        <v>416</v>
      </c>
      <c r="C482" s="537"/>
      <c r="D482" s="538">
        <v>37194899.04568693</v>
      </c>
      <c r="E482" s="538">
        <v>32604532.682210352</v>
      </c>
      <c r="F482" s="538">
        <f t="shared" si="12"/>
        <v>4590366.3634765781</v>
      </c>
      <c r="G482" s="539">
        <f t="shared" si="13"/>
        <v>0.14078920891821789</v>
      </c>
      <c r="H482" s="113"/>
      <c r="I482" s="363"/>
      <c r="J482" s="111"/>
    </row>
    <row r="483" spans="1:10" x14ac:dyDescent="0.25">
      <c r="B483" s="537" t="s">
        <v>417</v>
      </c>
      <c r="C483" s="537"/>
      <c r="D483" s="538">
        <v>14016443.669586999</v>
      </c>
      <c r="E483" s="538">
        <v>12153370.890432911</v>
      </c>
      <c r="F483" s="538">
        <f t="shared" si="12"/>
        <v>1863072.7791540883</v>
      </c>
      <c r="G483" s="539">
        <f t="shared" si="13"/>
        <v>0.15329679279521469</v>
      </c>
      <c r="H483" s="113"/>
      <c r="I483" s="363"/>
      <c r="J483" s="111"/>
    </row>
    <row r="484" spans="1:10" x14ac:dyDescent="0.25">
      <c r="B484" s="537" t="s">
        <v>418</v>
      </c>
      <c r="C484" s="537"/>
      <c r="D484" s="538">
        <v>110521669.66</v>
      </c>
      <c r="E484" s="538">
        <v>80507069.939999998</v>
      </c>
      <c r="F484" s="538">
        <f t="shared" si="12"/>
        <v>30014599.719999999</v>
      </c>
      <c r="G484" s="539">
        <f t="shared" si="13"/>
        <v>0.37281942744120689</v>
      </c>
      <c r="H484" s="113"/>
      <c r="I484" s="363"/>
      <c r="J484" s="111"/>
    </row>
    <row r="485" spans="1:10" x14ac:dyDescent="0.25">
      <c r="B485" s="537" t="s">
        <v>419</v>
      </c>
      <c r="C485" s="537"/>
      <c r="D485" s="538">
        <v>2278556.5</v>
      </c>
      <c r="E485" s="538">
        <v>1913896</v>
      </c>
      <c r="F485" s="538">
        <f t="shared" si="12"/>
        <v>364660.5</v>
      </c>
      <c r="G485" s="539">
        <f t="shared" si="13"/>
        <v>0.19053308016736548</v>
      </c>
      <c r="H485" s="113"/>
      <c r="I485" s="363"/>
      <c r="J485" s="111"/>
    </row>
    <row r="486" spans="1:10" x14ac:dyDescent="0.25">
      <c r="B486" s="537" t="s">
        <v>420</v>
      </c>
      <c r="C486" s="537"/>
      <c r="D486" s="538">
        <v>47468313.02569405</v>
      </c>
      <c r="E486" s="538">
        <v>33994417.133856677</v>
      </c>
      <c r="F486" s="538">
        <f t="shared" si="12"/>
        <v>13473895.891837373</v>
      </c>
      <c r="G486" s="539">
        <f t="shared" si="13"/>
        <v>0.39635613809121817</v>
      </c>
      <c r="H486" s="113"/>
      <c r="I486" s="363"/>
      <c r="J486" s="111"/>
    </row>
    <row r="487" spans="1:10" x14ac:dyDescent="0.25">
      <c r="B487" s="537" t="s">
        <v>421</v>
      </c>
      <c r="C487" s="537"/>
      <c r="D487" s="538">
        <v>318065177.90112978</v>
      </c>
      <c r="E487" s="538">
        <v>340668242.714773</v>
      </c>
      <c r="F487" s="538">
        <f t="shared" si="12"/>
        <v>-22603064.813643217</v>
      </c>
      <c r="G487" s="539">
        <f t="shared" si="13"/>
        <v>-6.6349198368242934E-2</v>
      </c>
      <c r="H487" s="113"/>
      <c r="I487" s="363"/>
      <c r="J487" s="111"/>
    </row>
    <row r="488" spans="1:10" x14ac:dyDescent="0.25">
      <c r="B488" s="540" t="s">
        <v>422</v>
      </c>
      <c r="C488" s="540"/>
      <c r="D488" s="538">
        <v>18106329.100000001</v>
      </c>
      <c r="E488" s="538">
        <v>16035497.639999997</v>
      </c>
      <c r="F488" s="538">
        <f t="shared" si="12"/>
        <v>2070831.4600000046</v>
      </c>
      <c r="G488" s="539">
        <f t="shared" si="13"/>
        <v>0.12914045491387727</v>
      </c>
      <c r="H488" s="113"/>
      <c r="I488" s="363"/>
      <c r="J488" s="111"/>
    </row>
    <row r="489" spans="1:10" x14ac:dyDescent="0.25">
      <c r="B489" s="540" t="s">
        <v>423</v>
      </c>
      <c r="C489" s="540"/>
      <c r="D489" s="538">
        <v>564753.96249999991</v>
      </c>
      <c r="E489" s="538">
        <v>328794.21999999997</v>
      </c>
      <c r="F489" s="538">
        <f t="shared" si="12"/>
        <v>235959.74249999993</v>
      </c>
      <c r="G489" s="539">
        <f t="shared" si="13"/>
        <v>0.71765173517952952</v>
      </c>
      <c r="H489" s="113"/>
      <c r="I489" s="363"/>
      <c r="J489" s="111"/>
    </row>
    <row r="490" spans="1:10" s="113" customFormat="1" x14ac:dyDescent="0.25">
      <c r="B490" s="541" t="s">
        <v>162</v>
      </c>
      <c r="C490" s="541"/>
      <c r="D490" s="542">
        <f>SUM(D475:D489)</f>
        <v>818356346.10862017</v>
      </c>
      <c r="E490" s="543">
        <f>SUM(E475:E489)</f>
        <v>753759462.8162204</v>
      </c>
      <c r="F490" s="544">
        <f>SUM(F475:F488)</f>
        <v>64360923.549899802</v>
      </c>
      <c r="G490" s="545">
        <f>+D490/E490-1</f>
        <v>8.5699598451541625E-2</v>
      </c>
      <c r="I490" s="363"/>
      <c r="J490" s="111"/>
    </row>
    <row r="491" spans="1:10" s="112" customFormat="1" x14ac:dyDescent="0.25">
      <c r="B491" s="546"/>
      <c r="C491" s="546"/>
      <c r="D491" s="547"/>
      <c r="E491" s="548"/>
      <c r="F491" s="549"/>
      <c r="G491" s="550"/>
      <c r="I491" s="363"/>
      <c r="J491" s="363"/>
    </row>
    <row r="492" spans="1:10" s="113" customFormat="1" ht="18.75" x14ac:dyDescent="0.3">
      <c r="A492" s="110"/>
      <c r="B492" s="551"/>
      <c r="C492" s="551"/>
      <c r="D492" s="552"/>
      <c r="E492" s="23"/>
      <c r="F492" s="553"/>
      <c r="G492" s="554"/>
      <c r="H492" s="207"/>
      <c r="I492" s="363"/>
      <c r="J492" s="111"/>
    </row>
    <row r="493" spans="1:10" s="113" customFormat="1" ht="19.5" thickBot="1" x14ac:dyDescent="0.35">
      <c r="A493" s="110"/>
      <c r="B493" s="551" t="s">
        <v>424</v>
      </c>
      <c r="C493" s="551"/>
      <c r="D493" s="555">
        <f>+D490</f>
        <v>818356346.10862017</v>
      </c>
      <c r="E493" s="556">
        <f>+E490</f>
        <v>753759462.8162204</v>
      </c>
      <c r="F493" s="557">
        <f>+F490</f>
        <v>64360923.549899802</v>
      </c>
      <c r="G493" s="558">
        <f>+G490</f>
        <v>8.5699598451541625E-2</v>
      </c>
      <c r="H493" s="559"/>
      <c r="I493" s="363"/>
      <c r="J493" s="111"/>
    </row>
    <row r="494" spans="1:10" s="560" customFormat="1" x14ac:dyDescent="0.25">
      <c r="B494" s="551"/>
      <c r="C494" s="551"/>
      <c r="D494" s="552"/>
      <c r="E494" s="23"/>
      <c r="F494" s="553"/>
      <c r="G494" s="554"/>
      <c r="I494" s="561"/>
      <c r="J494" s="561"/>
    </row>
    <row r="495" spans="1:10" s="112" customFormat="1" x14ac:dyDescent="0.25">
      <c r="B495" s="481" t="s">
        <v>425</v>
      </c>
      <c r="C495" s="481"/>
      <c r="D495" s="562"/>
      <c r="E495" s="562"/>
      <c r="F495" s="553"/>
      <c r="G495" s="554"/>
      <c r="I495" s="363"/>
      <c r="J495" s="363"/>
    </row>
    <row r="496" spans="1:10" s="112" customFormat="1" ht="2.25" customHeight="1" x14ac:dyDescent="0.25">
      <c r="B496" s="546"/>
      <c r="C496" s="546"/>
      <c r="D496" s="563"/>
      <c r="E496" s="564"/>
      <c r="F496" s="549"/>
      <c r="G496" s="550"/>
      <c r="I496" s="363"/>
      <c r="J496" s="363"/>
    </row>
    <row r="497" spans="1:10" s="112" customFormat="1" x14ac:dyDescent="0.25">
      <c r="B497" s="712" t="s">
        <v>426</v>
      </c>
      <c r="C497" s="712"/>
      <c r="D497" s="712"/>
      <c r="E497" s="712"/>
      <c r="F497" s="712"/>
      <c r="G497" s="712"/>
      <c r="I497" s="363"/>
      <c r="J497" s="363"/>
    </row>
    <row r="498" spans="1:10" s="112" customFormat="1" x14ac:dyDescent="0.25">
      <c r="B498" s="712"/>
      <c r="C498" s="712"/>
      <c r="D498" s="712"/>
      <c r="E498" s="712"/>
      <c r="F498" s="712"/>
      <c r="G498" s="712"/>
      <c r="I498" s="363"/>
      <c r="J498" s="363"/>
    </row>
    <row r="499" spans="1:10" s="112" customFormat="1" x14ac:dyDescent="0.25">
      <c r="B499" s="712"/>
      <c r="C499" s="712"/>
      <c r="D499" s="712"/>
      <c r="E499" s="712"/>
      <c r="F499" s="712"/>
      <c r="G499" s="712"/>
      <c r="I499" s="363"/>
      <c r="J499" s="363"/>
    </row>
    <row r="500" spans="1:10" s="112" customFormat="1" x14ac:dyDescent="0.25">
      <c r="B500" s="712"/>
      <c r="C500" s="712"/>
      <c r="D500" s="712"/>
      <c r="E500" s="712"/>
      <c r="F500" s="712"/>
      <c r="G500" s="712"/>
      <c r="I500" s="363"/>
      <c r="J500" s="363"/>
    </row>
    <row r="501" spans="1:10" s="112" customFormat="1" hidden="1" x14ac:dyDescent="0.25">
      <c r="B501" s="722"/>
      <c r="C501" s="722"/>
      <c r="D501" s="722"/>
      <c r="E501" s="722"/>
      <c r="F501" s="722"/>
      <c r="G501" s="722"/>
      <c r="I501" s="363"/>
      <c r="J501" s="363"/>
    </row>
    <row r="502" spans="1:10" s="113" customFormat="1" hidden="1" x14ac:dyDescent="0.25">
      <c r="A502" s="110"/>
      <c r="B502" s="546"/>
      <c r="C502" s="546"/>
      <c r="D502" s="563"/>
      <c r="E502" s="564"/>
      <c r="F502" s="549"/>
      <c r="G502" s="550"/>
      <c r="H502" s="110"/>
      <c r="I502" s="363"/>
      <c r="J502" s="111"/>
    </row>
    <row r="503" spans="1:10" s="113" customFormat="1" ht="18.75" thickBot="1" x14ac:dyDescent="0.3">
      <c r="A503" s="110"/>
      <c r="B503" s="110"/>
      <c r="C503" s="110"/>
      <c r="D503" s="339">
        <v>2022</v>
      </c>
      <c r="E503" s="536" t="s">
        <v>408</v>
      </c>
      <c r="F503" s="565" t="s">
        <v>34</v>
      </c>
      <c r="G503" s="566" t="s">
        <v>155</v>
      </c>
      <c r="H503" s="110"/>
      <c r="I503" s="363"/>
      <c r="J503" s="111"/>
    </row>
    <row r="504" spans="1:10" s="113" customFormat="1" x14ac:dyDescent="0.25">
      <c r="A504" s="110"/>
      <c r="B504" s="110" t="s">
        <v>427</v>
      </c>
      <c r="C504" s="110"/>
      <c r="D504" s="320">
        <v>357145152.87000012</v>
      </c>
      <c r="E504" s="321">
        <v>331192598.52999997</v>
      </c>
      <c r="F504" s="567">
        <f t="shared" ref="F504:F509" si="14">+D504-E504</f>
        <v>25952554.340000153</v>
      </c>
      <c r="G504" s="322">
        <f>+D504/E504-1</f>
        <v>7.8360912819883888E-2</v>
      </c>
      <c r="H504" s="110"/>
      <c r="I504" s="363"/>
      <c r="J504" s="111"/>
    </row>
    <row r="505" spans="1:10" s="113" customFormat="1" x14ac:dyDescent="0.25">
      <c r="A505" s="110"/>
      <c r="B505" s="110" t="s">
        <v>428</v>
      </c>
      <c r="C505" s="110"/>
      <c r="D505" s="320">
        <v>36475426.136000007</v>
      </c>
      <c r="E505" s="321">
        <v>18375400.770999998</v>
      </c>
      <c r="F505" s="567">
        <f t="shared" si="14"/>
        <v>18100025.36500001</v>
      </c>
      <c r="G505" s="322">
        <f>+D505/E505-1</f>
        <v>0.98501391020354867</v>
      </c>
      <c r="H505" s="110"/>
      <c r="I505" s="363"/>
      <c r="J505" s="111"/>
    </row>
    <row r="506" spans="1:10" x14ac:dyDescent="0.25">
      <c r="B506" s="110" t="s">
        <v>429</v>
      </c>
      <c r="D506" s="320">
        <v>0</v>
      </c>
      <c r="E506" s="321">
        <v>138880</v>
      </c>
      <c r="F506" s="567">
        <f t="shared" si="14"/>
        <v>-138880</v>
      </c>
      <c r="G506" s="322">
        <v>0</v>
      </c>
    </row>
    <row r="507" spans="1:10" x14ac:dyDescent="0.25">
      <c r="B507" s="110" t="s">
        <v>430</v>
      </c>
      <c r="D507" s="320">
        <v>25511292.765999991</v>
      </c>
      <c r="E507" s="321">
        <v>19807988.626000002</v>
      </c>
      <c r="F507" s="567">
        <f t="shared" si="14"/>
        <v>5703304.1399999894</v>
      </c>
      <c r="G507" s="322">
        <f>+D507/E507-1</f>
        <v>0.28792949388681599</v>
      </c>
    </row>
    <row r="508" spans="1:10" hidden="1" x14ac:dyDescent="0.25">
      <c r="B508" s="568" t="s">
        <v>431</v>
      </c>
      <c r="C508" s="568"/>
      <c r="D508" s="320">
        <v>0</v>
      </c>
      <c r="E508" s="321">
        <v>0</v>
      </c>
      <c r="F508" s="567">
        <f t="shared" si="14"/>
        <v>0</v>
      </c>
    </row>
    <row r="509" spans="1:10" x14ac:dyDescent="0.25">
      <c r="B509" s="568" t="s">
        <v>688</v>
      </c>
      <c r="C509" s="568"/>
      <c r="D509" s="321">
        <v>30265673.109999999</v>
      </c>
      <c r="E509" s="321">
        <v>0</v>
      </c>
      <c r="F509" s="567">
        <f t="shared" si="14"/>
        <v>30265673.109999999</v>
      </c>
    </row>
    <row r="510" spans="1:10" hidden="1" x14ac:dyDescent="0.25">
      <c r="B510" s="568" t="s">
        <v>432</v>
      </c>
      <c r="C510" s="568"/>
      <c r="D510" s="320">
        <v>0</v>
      </c>
      <c r="E510" s="321">
        <v>0</v>
      </c>
      <c r="F510" s="567">
        <f>+E510-D510</f>
        <v>0</v>
      </c>
      <c r="G510" s="322">
        <v>0</v>
      </c>
    </row>
    <row r="511" spans="1:10" ht="18.75" thickBot="1" x14ac:dyDescent="0.3">
      <c r="B511" s="196" t="s">
        <v>162</v>
      </c>
      <c r="C511" s="196"/>
      <c r="D511" s="469">
        <f>SUM(D504:D510)</f>
        <v>449397544.88200015</v>
      </c>
      <c r="E511" s="470">
        <f>SUM(E504:E510)</f>
        <v>369514867.92699999</v>
      </c>
      <c r="F511" s="569">
        <f>SUM(F504:F510)</f>
        <v>79882676.955000147</v>
      </c>
      <c r="G511" s="472">
        <f>+D511/E511-1</f>
        <v>0.21618257853370459</v>
      </c>
    </row>
    <row r="512" spans="1:10" ht="19.5" thickTop="1" x14ac:dyDescent="0.3">
      <c r="E512" s="320"/>
      <c r="F512" s="322"/>
      <c r="H512" s="559"/>
    </row>
    <row r="513" spans="2:7" ht="45.75" customHeight="1" x14ac:dyDescent="0.25">
      <c r="B513" s="723" t="s">
        <v>433</v>
      </c>
      <c r="C513" s="723"/>
      <c r="D513" s="723"/>
      <c r="E513" s="489"/>
      <c r="F513" s="487"/>
      <c r="G513" s="490"/>
    </row>
    <row r="514" spans="2:7" x14ac:dyDescent="0.25">
      <c r="B514" s="487"/>
      <c r="C514" s="487"/>
      <c r="D514" s="488"/>
      <c r="E514" s="489"/>
      <c r="F514" s="487"/>
      <c r="G514" s="490"/>
    </row>
    <row r="515" spans="2:7" ht="66" customHeight="1" thickBot="1" x14ac:dyDescent="0.3">
      <c r="B515" s="723" t="s">
        <v>434</v>
      </c>
      <c r="C515" s="723"/>
      <c r="D515" s="723"/>
      <c r="E515" s="489"/>
      <c r="F515" s="570"/>
      <c r="G515" s="490"/>
    </row>
    <row r="516" spans="2:7" ht="22.9" customHeight="1" x14ac:dyDescent="0.25">
      <c r="B516" s="571" t="s">
        <v>435</v>
      </c>
      <c r="C516" s="572"/>
      <c r="D516" s="573"/>
      <c r="E516" s="489"/>
      <c r="F516" s="570"/>
      <c r="G516" s="490"/>
    </row>
    <row r="517" spans="2:7" ht="22.9" customHeight="1" x14ac:dyDescent="0.25">
      <c r="B517" s="574" t="s">
        <v>113</v>
      </c>
      <c r="C517" s="575" t="s">
        <v>162</v>
      </c>
      <c r="D517" s="576" t="s">
        <v>155</v>
      </c>
      <c r="E517" s="489"/>
      <c r="F517" s="570"/>
      <c r="G517" s="490"/>
    </row>
    <row r="518" spans="2:7" ht="22.9" customHeight="1" x14ac:dyDescent="0.25">
      <c r="B518" s="577" t="s">
        <v>436</v>
      </c>
      <c r="C518" s="578">
        <v>1818832.425</v>
      </c>
      <c r="D518" s="579">
        <v>4.9864597008912652E-2</v>
      </c>
      <c r="E518" s="489"/>
      <c r="F518" s="570"/>
      <c r="G518" s="490"/>
    </row>
    <row r="519" spans="2:7" ht="22.9" customHeight="1" x14ac:dyDescent="0.25">
      <c r="B519" s="577" t="s">
        <v>437</v>
      </c>
      <c r="C519" s="578">
        <v>3946201.1000000006</v>
      </c>
      <c r="D519" s="579">
        <v>0.10818793686704142</v>
      </c>
      <c r="E519" s="489"/>
      <c r="F519" s="570"/>
      <c r="G519" s="490"/>
    </row>
    <row r="520" spans="2:7" ht="22.9" customHeight="1" x14ac:dyDescent="0.25">
      <c r="B520" s="580" t="s">
        <v>438</v>
      </c>
      <c r="C520" s="578">
        <v>1062250</v>
      </c>
      <c r="D520" s="579">
        <v>2.9122346536524641E-2</v>
      </c>
      <c r="E520" s="489"/>
      <c r="F520" s="570"/>
      <c r="G520" s="490"/>
    </row>
    <row r="521" spans="2:7" ht="22.9" customHeight="1" x14ac:dyDescent="0.25">
      <c r="B521" s="577" t="s">
        <v>439</v>
      </c>
      <c r="C521" s="578">
        <v>26105120.900999997</v>
      </c>
      <c r="D521" s="579">
        <v>0.71569063521468046</v>
      </c>
      <c r="E521" s="489"/>
      <c r="F521" s="570"/>
      <c r="G521" s="490"/>
    </row>
    <row r="522" spans="2:7" ht="22.9" customHeight="1" x14ac:dyDescent="0.25">
      <c r="B522" s="577" t="s">
        <v>440</v>
      </c>
      <c r="C522" s="581">
        <v>3543021.71</v>
      </c>
      <c r="D522" s="582">
        <v>9.7134484372840779E-2</v>
      </c>
      <c r="E522" s="489"/>
      <c r="F522" s="570"/>
      <c r="G522" s="490"/>
    </row>
    <row r="523" spans="2:7" ht="22.9" customHeight="1" thickBot="1" x14ac:dyDescent="0.3">
      <c r="B523" s="583" t="s">
        <v>162</v>
      </c>
      <c r="C523" s="584">
        <v>36475426.136</v>
      </c>
      <c r="D523" s="585">
        <v>1</v>
      </c>
      <c r="E523" s="489"/>
      <c r="F523" s="570"/>
      <c r="G523" s="490"/>
    </row>
    <row r="524" spans="2:7" ht="22.9" customHeight="1" x14ac:dyDescent="0.25">
      <c r="B524" s="586"/>
      <c r="C524" s="586"/>
      <c r="D524" s="586"/>
      <c r="E524" s="489"/>
      <c r="F524" s="570"/>
      <c r="G524" s="490"/>
    </row>
    <row r="525" spans="2:7" ht="22.9" customHeight="1" thickBot="1" x14ac:dyDescent="0.3">
      <c r="B525" s="723" t="s">
        <v>441</v>
      </c>
      <c r="C525" s="723"/>
      <c r="D525" s="723"/>
      <c r="E525" s="489"/>
      <c r="F525" s="570"/>
      <c r="G525" s="490"/>
    </row>
    <row r="526" spans="2:7" ht="22.9" customHeight="1" x14ac:dyDescent="0.25">
      <c r="B526" s="724" t="s">
        <v>442</v>
      </c>
      <c r="C526" s="725"/>
      <c r="D526" s="725"/>
      <c r="E526" s="489"/>
      <c r="F526" s="570"/>
      <c r="G526" s="490"/>
    </row>
    <row r="527" spans="2:7" ht="22.9" customHeight="1" x14ac:dyDescent="0.25">
      <c r="B527" s="574" t="s">
        <v>113</v>
      </c>
      <c r="C527" s="575" t="s">
        <v>162</v>
      </c>
      <c r="D527" s="576" t="s">
        <v>155</v>
      </c>
      <c r="E527" s="489"/>
      <c r="F527" s="570"/>
      <c r="G527" s="490"/>
    </row>
    <row r="528" spans="2:7" ht="22.9" customHeight="1" x14ac:dyDescent="0.25">
      <c r="B528" s="577" t="s">
        <v>443</v>
      </c>
      <c r="C528" s="578">
        <v>23590845.849999998</v>
      </c>
      <c r="D528" s="579">
        <f>+C528/$C$542</f>
        <v>0.92472169335697674</v>
      </c>
      <c r="E528" s="489"/>
      <c r="F528" s="570"/>
      <c r="G528" s="490"/>
    </row>
    <row r="529" spans="2:7" ht="22.9" customHeight="1" x14ac:dyDescent="0.25">
      <c r="B529" s="577" t="s">
        <v>444</v>
      </c>
      <c r="C529" s="578">
        <v>3982</v>
      </c>
      <c r="D529" s="579">
        <f t="shared" ref="D529:D541" si="15">+C529/$C$542</f>
        <v>1.5608773870850765E-4</v>
      </c>
      <c r="E529" s="489"/>
      <c r="F529" s="570"/>
      <c r="G529" s="490"/>
    </row>
    <row r="530" spans="2:7" ht="22.9" customHeight="1" x14ac:dyDescent="0.25">
      <c r="B530" s="577" t="s">
        <v>445</v>
      </c>
      <c r="C530" s="578">
        <v>517273</v>
      </c>
      <c r="D530" s="579">
        <f t="shared" si="15"/>
        <v>2.0276236279499215E-2</v>
      </c>
      <c r="E530" s="489"/>
      <c r="F530" s="570"/>
      <c r="G530" s="490"/>
    </row>
    <row r="531" spans="2:7" ht="22.9" customHeight="1" x14ac:dyDescent="0.25">
      <c r="B531" s="577" t="s">
        <v>446</v>
      </c>
      <c r="C531" s="578">
        <v>702996</v>
      </c>
      <c r="D531" s="579">
        <f t="shared" si="15"/>
        <v>2.7556267192648427E-2</v>
      </c>
      <c r="E531" s="489"/>
      <c r="F531" s="570"/>
      <c r="G531" s="490"/>
    </row>
    <row r="532" spans="2:7" ht="22.9" customHeight="1" x14ac:dyDescent="0.25">
      <c r="B532" s="577" t="s">
        <v>447</v>
      </c>
      <c r="C532" s="578">
        <v>3121.26</v>
      </c>
      <c r="D532" s="579">
        <f t="shared" si="15"/>
        <v>1.2234817059802024E-4</v>
      </c>
      <c r="E532" s="489"/>
      <c r="F532" s="570"/>
      <c r="G532" s="490"/>
    </row>
    <row r="533" spans="2:7" ht="22.9" customHeight="1" x14ac:dyDescent="0.25">
      <c r="B533" s="577" t="s">
        <v>448</v>
      </c>
      <c r="C533" s="578">
        <v>235679.61</v>
      </c>
      <c r="D533" s="579">
        <f t="shared" si="15"/>
        <v>9.2382464551991408E-3</v>
      </c>
      <c r="E533" s="489"/>
      <c r="F533" s="570"/>
      <c r="G533" s="490"/>
    </row>
    <row r="534" spans="2:7" ht="22.9" customHeight="1" x14ac:dyDescent="0.25">
      <c r="B534" s="577" t="s">
        <v>449</v>
      </c>
      <c r="C534" s="578">
        <v>285346.56</v>
      </c>
      <c r="D534" s="579">
        <f t="shared" si="15"/>
        <v>1.1185107809807006E-2</v>
      </c>
      <c r="E534" s="489"/>
      <c r="F534" s="570"/>
      <c r="G534" s="490"/>
    </row>
    <row r="535" spans="2:7" x14ac:dyDescent="0.25">
      <c r="B535" s="577" t="s">
        <v>450</v>
      </c>
      <c r="C535" s="578">
        <v>3401.7</v>
      </c>
      <c r="D535" s="579">
        <f t="shared" si="15"/>
        <v>1.3334094946376956E-4</v>
      </c>
      <c r="E535" s="489"/>
      <c r="F535" s="487"/>
      <c r="G535" s="490"/>
    </row>
    <row r="536" spans="2:7" ht="17.45" customHeight="1" x14ac:dyDescent="0.25">
      <c r="B536" s="577" t="s">
        <v>451</v>
      </c>
      <c r="C536" s="578">
        <v>1419.98</v>
      </c>
      <c r="D536" s="579">
        <f t="shared" si="15"/>
        <v>5.5660840585461248E-5</v>
      </c>
      <c r="E536" s="489"/>
      <c r="F536" s="487"/>
      <c r="G536" s="490"/>
    </row>
    <row r="537" spans="2:7" x14ac:dyDescent="0.25">
      <c r="B537" s="577" t="s">
        <v>452</v>
      </c>
      <c r="C537" s="578">
        <v>63191.7</v>
      </c>
      <c r="D537" s="579">
        <f t="shared" si="15"/>
        <v>2.4770089297203421E-3</v>
      </c>
      <c r="E537" s="489"/>
      <c r="F537" s="487"/>
      <c r="G537" s="490"/>
    </row>
    <row r="538" spans="2:7" ht="16.5" customHeight="1" x14ac:dyDescent="0.25">
      <c r="B538" s="577" t="s">
        <v>453</v>
      </c>
      <c r="C538" s="578">
        <v>4316.55</v>
      </c>
      <c r="D538" s="579">
        <f t="shared" si="15"/>
        <v>1.6920153905630554E-4</v>
      </c>
      <c r="E538" s="489"/>
      <c r="F538" s="487"/>
      <c r="G538" s="490"/>
    </row>
    <row r="539" spans="2:7" ht="17.45" customHeight="1" x14ac:dyDescent="0.25">
      <c r="B539" s="577" t="s">
        <v>454</v>
      </c>
      <c r="C539" s="578">
        <v>65993.279999999999</v>
      </c>
      <c r="D539" s="579">
        <f t="shared" si="15"/>
        <v>2.5868261790952746E-3</v>
      </c>
      <c r="E539" s="489"/>
      <c r="F539" s="487"/>
      <c r="G539" s="490"/>
    </row>
    <row r="540" spans="2:7" ht="17.45" customHeight="1" x14ac:dyDescent="0.25">
      <c r="B540" s="577" t="s">
        <v>455</v>
      </c>
      <c r="C540" s="578">
        <v>31900.799999999999</v>
      </c>
      <c r="D540" s="579">
        <f t="shared" si="15"/>
        <v>1.2504579947243497E-3</v>
      </c>
      <c r="E540" s="489"/>
      <c r="F540" s="487"/>
      <c r="G540" s="490"/>
    </row>
    <row r="541" spans="2:7" x14ac:dyDescent="0.25">
      <c r="B541" s="577" t="s">
        <v>456</v>
      </c>
      <c r="C541" s="581">
        <v>1824.48</v>
      </c>
      <c r="D541" s="582">
        <f t="shared" si="15"/>
        <v>7.151656391735259E-5</v>
      </c>
    </row>
    <row r="542" spans="2:7" ht="18.75" thickBot="1" x14ac:dyDescent="0.3">
      <c r="B542" s="583" t="s">
        <v>162</v>
      </c>
      <c r="C542" s="584">
        <f>SUM(C528:C541)</f>
        <v>25511292.77</v>
      </c>
      <c r="D542" s="585">
        <v>0.99609119926226297</v>
      </c>
    </row>
    <row r="543" spans="2:7" x14ac:dyDescent="0.25">
      <c r="B543" s="587"/>
      <c r="C543" s="588"/>
      <c r="D543" s="589"/>
    </row>
    <row r="544" spans="2:7" x14ac:dyDescent="0.25">
      <c r="B544" s="587"/>
      <c r="C544" s="588"/>
      <c r="D544" s="589"/>
    </row>
    <row r="545" spans="2:5" x14ac:dyDescent="0.25">
      <c r="B545" s="551" t="s">
        <v>457</v>
      </c>
      <c r="C545" s="590"/>
      <c r="D545" s="591"/>
    </row>
    <row r="546" spans="2:5" ht="38.25" customHeight="1" x14ac:dyDescent="0.25">
      <c r="B546" s="726" t="s">
        <v>689</v>
      </c>
      <c r="C546" s="726"/>
      <c r="D546" s="726"/>
    </row>
    <row r="547" spans="2:5" ht="16.5" customHeight="1" x14ac:dyDescent="0.25">
      <c r="B547" s="357"/>
      <c r="C547" s="357"/>
      <c r="D547" s="357"/>
    </row>
    <row r="548" spans="2:5" ht="16.5" customHeight="1" x14ac:dyDescent="0.25">
      <c r="B548" s="575" t="s">
        <v>458</v>
      </c>
      <c r="C548" s="575" t="s">
        <v>459</v>
      </c>
      <c r="D548" s="575" t="s">
        <v>460</v>
      </c>
      <c r="E548" s="575" t="s">
        <v>461</v>
      </c>
    </row>
    <row r="549" spans="2:5" ht="16.5" customHeight="1" x14ac:dyDescent="0.25">
      <c r="B549" s="592" t="s">
        <v>462</v>
      </c>
      <c r="C549" s="593" t="s">
        <v>463</v>
      </c>
      <c r="D549" s="594">
        <v>44924</v>
      </c>
      <c r="E549" s="595">
        <v>1620216.15</v>
      </c>
    </row>
    <row r="550" spans="2:5" ht="16.5" customHeight="1" x14ac:dyDescent="0.25">
      <c r="B550" s="592" t="s">
        <v>464</v>
      </c>
      <c r="C550" s="593" t="s">
        <v>465</v>
      </c>
      <c r="D550" s="594">
        <v>44918</v>
      </c>
      <c r="E550" s="595">
        <v>1857035</v>
      </c>
    </row>
    <row r="551" spans="2:5" ht="16.5" customHeight="1" x14ac:dyDescent="0.25">
      <c r="B551" s="592" t="s">
        <v>466</v>
      </c>
      <c r="C551" s="593" t="s">
        <v>467</v>
      </c>
      <c r="D551" s="594">
        <v>44915</v>
      </c>
      <c r="E551" s="595">
        <v>12181094</v>
      </c>
    </row>
    <row r="552" spans="2:5" ht="16.5" customHeight="1" x14ac:dyDescent="0.25">
      <c r="B552" s="592" t="s">
        <v>468</v>
      </c>
      <c r="C552" s="593" t="s">
        <v>469</v>
      </c>
      <c r="D552" s="594">
        <v>44918</v>
      </c>
      <c r="E552" s="595">
        <v>916933.36</v>
      </c>
    </row>
    <row r="553" spans="2:5" ht="16.5" customHeight="1" x14ac:dyDescent="0.25">
      <c r="B553" s="592" t="s">
        <v>470</v>
      </c>
      <c r="C553" s="593" t="s">
        <v>471</v>
      </c>
      <c r="D553" s="594">
        <v>44915</v>
      </c>
      <c r="E553" s="595">
        <v>34200</v>
      </c>
    </row>
    <row r="554" spans="2:5" ht="16.5" customHeight="1" x14ac:dyDescent="0.25">
      <c r="B554" s="592" t="s">
        <v>472</v>
      </c>
      <c r="C554" s="593" t="s">
        <v>473</v>
      </c>
      <c r="D554" s="594">
        <v>44916</v>
      </c>
      <c r="E554" s="595">
        <v>637649.57999999996</v>
      </c>
    </row>
    <row r="555" spans="2:5" ht="16.5" customHeight="1" x14ac:dyDescent="0.25">
      <c r="B555" s="592" t="s">
        <v>474</v>
      </c>
      <c r="C555" s="593" t="s">
        <v>475</v>
      </c>
      <c r="D555" s="594">
        <v>44915</v>
      </c>
      <c r="E555" s="595">
        <v>247404</v>
      </c>
    </row>
    <row r="556" spans="2:5" ht="16.5" customHeight="1" x14ac:dyDescent="0.25">
      <c r="B556" s="592" t="s">
        <v>476</v>
      </c>
      <c r="C556" s="593" t="s">
        <v>477</v>
      </c>
      <c r="D556" s="594">
        <v>44917</v>
      </c>
      <c r="E556" s="595">
        <v>70800</v>
      </c>
    </row>
    <row r="557" spans="2:5" x14ac:dyDescent="0.25">
      <c r="B557" s="592" t="s">
        <v>478</v>
      </c>
      <c r="C557" s="593" t="s">
        <v>479</v>
      </c>
      <c r="D557" s="594">
        <v>44918</v>
      </c>
      <c r="E557" s="595">
        <v>318909.90999999997</v>
      </c>
    </row>
    <row r="558" spans="2:5" x14ac:dyDescent="0.25">
      <c r="B558" s="592" t="s">
        <v>480</v>
      </c>
      <c r="C558" s="593" t="s">
        <v>481</v>
      </c>
      <c r="D558" s="594">
        <v>44924</v>
      </c>
      <c r="E558" s="595">
        <v>3260070</v>
      </c>
    </row>
    <row r="559" spans="2:5" x14ac:dyDescent="0.25">
      <c r="B559" s="592" t="s">
        <v>478</v>
      </c>
      <c r="C559" s="593" t="s">
        <v>482</v>
      </c>
      <c r="D559" s="594">
        <v>44915</v>
      </c>
      <c r="E559" s="595">
        <v>53677.8</v>
      </c>
    </row>
    <row r="560" spans="2:5" x14ac:dyDescent="0.25">
      <c r="B560" s="592" t="s">
        <v>478</v>
      </c>
      <c r="C560" s="593" t="s">
        <v>483</v>
      </c>
      <c r="D560" s="594">
        <v>44918</v>
      </c>
      <c r="E560" s="595">
        <v>103120.5</v>
      </c>
    </row>
    <row r="561" spans="2:10" x14ac:dyDescent="0.25">
      <c r="B561" s="592" t="s">
        <v>484</v>
      </c>
      <c r="C561" s="593" t="s">
        <v>485</v>
      </c>
      <c r="D561" s="594">
        <v>44922</v>
      </c>
      <c r="E561" s="595">
        <v>1207625.01</v>
      </c>
    </row>
    <row r="562" spans="2:10" x14ac:dyDescent="0.25">
      <c r="B562" s="592" t="s">
        <v>486</v>
      </c>
      <c r="C562" s="593" t="s">
        <v>487</v>
      </c>
      <c r="D562" s="594">
        <v>44915</v>
      </c>
      <c r="E562" s="595">
        <v>252375.3</v>
      </c>
    </row>
    <row r="563" spans="2:10" x14ac:dyDescent="0.25">
      <c r="B563" s="592" t="s">
        <v>472</v>
      </c>
      <c r="C563" s="593" t="s">
        <v>488</v>
      </c>
      <c r="D563" s="594">
        <v>44925</v>
      </c>
      <c r="E563" s="595">
        <v>4371521.9400000004</v>
      </c>
    </row>
    <row r="564" spans="2:10" x14ac:dyDescent="0.25">
      <c r="B564" s="592" t="s">
        <v>489</v>
      </c>
      <c r="C564" s="593" t="s">
        <v>490</v>
      </c>
      <c r="D564" s="594">
        <v>44925</v>
      </c>
      <c r="E564" s="595">
        <v>2535138</v>
      </c>
    </row>
    <row r="565" spans="2:10" ht="18.75" thickBot="1" x14ac:dyDescent="0.3">
      <c r="B565" s="596" t="s">
        <v>491</v>
      </c>
      <c r="C565" s="597" t="s">
        <v>492</v>
      </c>
      <c r="D565" s="598">
        <v>44918</v>
      </c>
      <c r="E565" s="599">
        <v>597902.5</v>
      </c>
    </row>
    <row r="566" spans="2:10" ht="18.75" thickBot="1" x14ac:dyDescent="0.3">
      <c r="B566" s="600" t="s">
        <v>493</v>
      </c>
      <c r="C566" s="601"/>
      <c r="D566" s="602"/>
      <c r="E566" s="603">
        <f>SUM(E549:E565)</f>
        <v>30265673.050000004</v>
      </c>
    </row>
    <row r="567" spans="2:10" x14ac:dyDescent="0.25">
      <c r="B567" s="587"/>
      <c r="C567" s="588"/>
      <c r="D567" s="589"/>
    </row>
    <row r="568" spans="2:10" x14ac:dyDescent="0.25">
      <c r="B568" s="712" t="s">
        <v>690</v>
      </c>
      <c r="C568" s="712"/>
      <c r="D568" s="712"/>
      <c r="E568" s="712"/>
      <c r="F568" s="712"/>
    </row>
    <row r="569" spans="2:10" x14ac:dyDescent="0.25">
      <c r="B569" s="712"/>
      <c r="C569" s="712"/>
      <c r="D569" s="712"/>
      <c r="E569" s="712"/>
      <c r="F569" s="712"/>
    </row>
    <row r="570" spans="2:10" ht="18.75" thickBot="1" x14ac:dyDescent="0.3">
      <c r="D570" s="339">
        <v>2022</v>
      </c>
      <c r="E570" s="536" t="s">
        <v>408</v>
      </c>
      <c r="F570" s="565" t="s">
        <v>34</v>
      </c>
      <c r="G570" s="566" t="s">
        <v>155</v>
      </c>
    </row>
    <row r="571" spans="2:10" x14ac:dyDescent="0.25">
      <c r="B571" s="110" t="s">
        <v>494</v>
      </c>
      <c r="D571" s="323">
        <v>7004535.6922769677</v>
      </c>
      <c r="E571" s="321">
        <v>6080493.0761695551</v>
      </c>
      <c r="F571" s="567">
        <f>+D571-E571</f>
        <v>924042.61610741261</v>
      </c>
      <c r="G571" s="322">
        <f>+D571/E571-1</f>
        <v>0.1519683690996847</v>
      </c>
    </row>
    <row r="572" spans="2:10" ht="18.75" thickBot="1" x14ac:dyDescent="0.3">
      <c r="B572" s="196" t="s">
        <v>162</v>
      </c>
      <c r="C572" s="196"/>
      <c r="D572" s="469">
        <f>SUM(D571)</f>
        <v>7004535.6922769677</v>
      </c>
      <c r="E572" s="504">
        <f>SUM(E571)</f>
        <v>6080493.0761695551</v>
      </c>
      <c r="F572" s="604">
        <f>SUM(F571:F571)</f>
        <v>924042.61610741261</v>
      </c>
      <c r="G572" s="472">
        <f>+D572/E572-1</f>
        <v>0.1519683690996847</v>
      </c>
    </row>
    <row r="573" spans="2:10" ht="18.75" thickTop="1" x14ac:dyDescent="0.25">
      <c r="B573" s="196"/>
      <c r="C573" s="196"/>
      <c r="D573" s="605"/>
      <c r="E573" s="473"/>
      <c r="F573" s="606"/>
      <c r="G573" s="355"/>
    </row>
    <row r="574" spans="2:10" x14ac:dyDescent="0.25">
      <c r="B574" s="712" t="s">
        <v>495</v>
      </c>
      <c r="C574" s="712"/>
      <c r="D574" s="712"/>
      <c r="E574" s="712"/>
      <c r="F574" s="606"/>
      <c r="G574" s="355"/>
    </row>
    <row r="575" spans="2:10" x14ac:dyDescent="0.25">
      <c r="B575" s="712"/>
      <c r="C575" s="712"/>
      <c r="D575" s="712"/>
      <c r="E575" s="712"/>
      <c r="F575" s="198"/>
      <c r="G575" s="607"/>
    </row>
    <row r="576" spans="2:10" s="608" customFormat="1" ht="18.75" thickBot="1" x14ac:dyDescent="0.3">
      <c r="D576" s="609"/>
      <c r="E576" s="610"/>
      <c r="F576" s="611"/>
      <c r="G576" s="447"/>
      <c r="I576" s="438"/>
      <c r="J576" s="438"/>
    </row>
    <row r="577" spans="2:10" s="608" customFormat="1" x14ac:dyDescent="0.25">
      <c r="B577" s="713" t="s">
        <v>114</v>
      </c>
      <c r="C577" s="714"/>
      <c r="D577" s="714"/>
      <c r="E577" s="610"/>
      <c r="F577" s="611"/>
      <c r="G577" s="447"/>
      <c r="I577" s="438"/>
      <c r="J577" s="438"/>
    </row>
    <row r="578" spans="2:10" s="608" customFormat="1" x14ac:dyDescent="0.25">
      <c r="B578" s="612" t="s">
        <v>113</v>
      </c>
      <c r="C578" s="613" t="s">
        <v>162</v>
      </c>
      <c r="D578" s="614" t="s">
        <v>155</v>
      </c>
      <c r="E578" s="610"/>
      <c r="F578" s="611"/>
      <c r="G578" s="447"/>
      <c r="I578" s="438"/>
      <c r="J578" s="438"/>
    </row>
    <row r="579" spans="2:10" s="608" customFormat="1" x14ac:dyDescent="0.25">
      <c r="B579" s="615" t="s">
        <v>496</v>
      </c>
      <c r="C579" s="616">
        <v>700000</v>
      </c>
      <c r="D579" s="617">
        <f>+C579/$C$586</f>
        <v>9.9935246366706962E-2</v>
      </c>
      <c r="E579" s="610"/>
      <c r="F579" s="611"/>
      <c r="G579" s="447"/>
      <c r="I579" s="438"/>
      <c r="J579" s="438"/>
    </row>
    <row r="580" spans="2:10" s="608" customFormat="1" x14ac:dyDescent="0.25">
      <c r="B580" s="615" t="s">
        <v>497</v>
      </c>
      <c r="C580" s="616">
        <v>1269480.254665853</v>
      </c>
      <c r="D580" s="617">
        <f t="shared" ref="D580:D585" si="16">+C580/$C$586</f>
        <v>0.18123688858243131</v>
      </c>
      <c r="E580" s="610"/>
      <c r="F580" s="611"/>
      <c r="G580" s="447"/>
      <c r="I580" s="438"/>
      <c r="J580" s="438"/>
    </row>
    <row r="581" spans="2:10" s="608" customFormat="1" x14ac:dyDescent="0.25">
      <c r="B581" s="615" t="s">
        <v>498</v>
      </c>
      <c r="C581" s="616">
        <f>5680739.36-883953.47</f>
        <v>4796785.8900000006</v>
      </c>
      <c r="D581" s="617">
        <f t="shared" si="16"/>
        <v>0.68481139955070536</v>
      </c>
      <c r="E581" s="610"/>
      <c r="F581" s="611"/>
      <c r="G581" s="447"/>
      <c r="I581" s="438"/>
      <c r="J581" s="438"/>
    </row>
    <row r="582" spans="2:10" s="608" customFormat="1" x14ac:dyDescent="0.25">
      <c r="B582" s="615" t="s">
        <v>499</v>
      </c>
      <c r="C582" s="616">
        <v>140000</v>
      </c>
      <c r="D582" s="617">
        <f t="shared" si="16"/>
        <v>1.9987049273341391E-2</v>
      </c>
      <c r="E582" s="610"/>
      <c r="F582" s="611"/>
      <c r="G582" s="447"/>
      <c r="I582" s="438"/>
      <c r="J582" s="438"/>
    </row>
    <row r="583" spans="2:10" s="608" customFormat="1" x14ac:dyDescent="0.25">
      <c r="B583" s="615" t="s">
        <v>500</v>
      </c>
      <c r="C583" s="616">
        <v>6400</v>
      </c>
      <c r="D583" s="617">
        <f t="shared" si="16"/>
        <v>9.1369368106703505E-4</v>
      </c>
      <c r="E583" s="610"/>
      <c r="F583" s="611"/>
      <c r="G583" s="447"/>
      <c r="I583" s="438"/>
      <c r="J583" s="438"/>
    </row>
    <row r="584" spans="2:10" s="608" customFormat="1" x14ac:dyDescent="0.25">
      <c r="B584" s="615" t="s">
        <v>501</v>
      </c>
      <c r="C584" s="616">
        <v>16949.786689606441</v>
      </c>
      <c r="D584" s="617">
        <f t="shared" si="16"/>
        <v>2.4198301552699288E-3</v>
      </c>
      <c r="E584" s="610"/>
      <c r="F584" s="611"/>
      <c r="G584" s="447"/>
      <c r="I584" s="438"/>
      <c r="J584" s="438"/>
    </row>
    <row r="585" spans="2:10" s="608" customFormat="1" x14ac:dyDescent="0.25">
      <c r="B585" s="615" t="s">
        <v>502</v>
      </c>
      <c r="C585" s="618">
        <v>74919.759999999995</v>
      </c>
      <c r="D585" s="617">
        <f t="shared" si="16"/>
        <v>1.0695892390477938E-2</v>
      </c>
      <c r="E585" s="610"/>
      <c r="F585" s="611"/>
      <c r="G585" s="447"/>
      <c r="I585" s="438"/>
      <c r="J585" s="438"/>
    </row>
    <row r="586" spans="2:10" s="608" customFormat="1" ht="18.75" thickBot="1" x14ac:dyDescent="0.3">
      <c r="B586" s="619" t="s">
        <v>162</v>
      </c>
      <c r="C586" s="620">
        <f>SUM(C579:C585)</f>
        <v>7004535.6913554603</v>
      </c>
      <c r="D586" s="621">
        <v>0.99609119926226297</v>
      </c>
      <c r="E586" s="610"/>
      <c r="F586" s="611"/>
      <c r="G586" s="447"/>
      <c r="I586" s="438"/>
      <c r="J586" s="438"/>
    </row>
    <row r="587" spans="2:10" s="608" customFormat="1" x14ac:dyDescent="0.25">
      <c r="D587" s="609"/>
      <c r="E587" s="610"/>
      <c r="F587" s="611"/>
      <c r="G587" s="447"/>
      <c r="I587" s="438"/>
      <c r="J587" s="438"/>
    </row>
    <row r="588" spans="2:10" s="608" customFormat="1" x14ac:dyDescent="0.25">
      <c r="D588" s="609"/>
      <c r="E588" s="610"/>
      <c r="F588" s="611"/>
      <c r="G588" s="447"/>
      <c r="I588" s="438"/>
      <c r="J588" s="438"/>
    </row>
    <row r="589" spans="2:10" x14ac:dyDescent="0.25">
      <c r="B589" s="622" t="s">
        <v>503</v>
      </c>
      <c r="C589" s="622"/>
      <c r="D589" s="623"/>
      <c r="E589" s="496"/>
    </row>
    <row r="590" spans="2:10" x14ac:dyDescent="0.25">
      <c r="B590" s="344"/>
      <c r="C590" s="344"/>
      <c r="D590" s="623"/>
      <c r="E590" s="496"/>
    </row>
    <row r="591" spans="2:10" x14ac:dyDescent="0.25">
      <c r="B591" s="622" t="s">
        <v>504</v>
      </c>
      <c r="C591" s="622"/>
      <c r="D591" s="624"/>
      <c r="E591" s="625"/>
      <c r="F591" s="622"/>
      <c r="G591" s="626"/>
    </row>
    <row r="592" spans="2:10" x14ac:dyDescent="0.25">
      <c r="B592" s="196"/>
      <c r="C592" s="196"/>
    </row>
    <row r="593" spans="2:7" x14ac:dyDescent="0.25">
      <c r="B593" s="196" t="s">
        <v>505</v>
      </c>
      <c r="C593" s="196"/>
    </row>
    <row r="594" spans="2:7" x14ac:dyDescent="0.25">
      <c r="D594" s="339">
        <v>2022</v>
      </c>
      <c r="E594" s="339" t="s">
        <v>408</v>
      </c>
      <c r="F594" s="340" t="s">
        <v>34</v>
      </c>
      <c r="G594" s="341" t="s">
        <v>155</v>
      </c>
    </row>
    <row r="595" spans="2:7" hidden="1" x14ac:dyDescent="0.25">
      <c r="B595" s="110" t="s">
        <v>506</v>
      </c>
      <c r="D595" s="320">
        <v>0</v>
      </c>
      <c r="E595" s="321">
        <v>0</v>
      </c>
      <c r="F595" s="344">
        <f t="shared" ref="F595:F600" si="17">+D595-E595</f>
        <v>0</v>
      </c>
      <c r="G595" s="322">
        <v>0</v>
      </c>
    </row>
    <row r="596" spans="2:7" hidden="1" x14ac:dyDescent="0.25">
      <c r="B596" s="110" t="s">
        <v>507</v>
      </c>
      <c r="D596" s="320">
        <v>0</v>
      </c>
      <c r="E596" s="321">
        <v>0</v>
      </c>
      <c r="F596" s="344">
        <f t="shared" si="17"/>
        <v>0</v>
      </c>
      <c r="G596" s="322">
        <v>0</v>
      </c>
    </row>
    <row r="597" spans="2:7" x14ac:dyDescent="0.25">
      <c r="B597" s="110" t="s">
        <v>508</v>
      </c>
      <c r="D597" s="320">
        <v>10020382.729999999</v>
      </c>
      <c r="E597" s="321">
        <v>0</v>
      </c>
      <c r="F597" s="344">
        <f t="shared" si="17"/>
        <v>10020382.729999999</v>
      </c>
      <c r="G597" s="322">
        <v>1</v>
      </c>
    </row>
    <row r="598" spans="2:7" x14ac:dyDescent="0.25">
      <c r="B598" s="110" t="s">
        <v>509</v>
      </c>
      <c r="D598" s="320">
        <v>44511184.370000005</v>
      </c>
      <c r="E598" s="321">
        <v>406736430.18999946</v>
      </c>
      <c r="F598" s="344">
        <f>+D599-E598</f>
        <v>-2417095.714902401</v>
      </c>
      <c r="G598" s="322">
        <v>1</v>
      </c>
    </row>
    <row r="599" spans="2:7" x14ac:dyDescent="0.25">
      <c r="B599" s="110" t="s">
        <v>510</v>
      </c>
      <c r="D599" s="320">
        <v>404319334.47509706</v>
      </c>
      <c r="F599" s="344">
        <f>+D600-E599</f>
        <v>70662627.980000034</v>
      </c>
      <c r="G599" s="322">
        <v>0</v>
      </c>
    </row>
    <row r="600" spans="2:7" x14ac:dyDescent="0.25">
      <c r="B600" s="113" t="s">
        <v>511</v>
      </c>
      <c r="C600" s="113"/>
      <c r="D600" s="320">
        <v>70662627.980000034</v>
      </c>
      <c r="E600" s="321">
        <v>21582473.990000006</v>
      </c>
      <c r="F600" s="344">
        <f t="shared" si="17"/>
        <v>49080153.990000024</v>
      </c>
      <c r="G600" s="322">
        <f>+D600/E600-1</f>
        <v>2.2740745112326213</v>
      </c>
    </row>
    <row r="601" spans="2:7" x14ac:dyDescent="0.25">
      <c r="B601" s="196" t="s">
        <v>162</v>
      </c>
      <c r="C601" s="196"/>
      <c r="D601" s="349">
        <f>SUM(D595:D600)</f>
        <v>529513529.5550971</v>
      </c>
      <c r="E601" s="349">
        <f>SUM(E595:E600)</f>
        <v>428318904.17999947</v>
      </c>
      <c r="F601" s="350">
        <f>SUM(F595:F600)</f>
        <v>127346068.98509766</v>
      </c>
      <c r="G601" s="351">
        <f>+D601/E601-1</f>
        <v>0.23626000250638235</v>
      </c>
    </row>
    <row r="602" spans="2:7" x14ac:dyDescent="0.25">
      <c r="D602" s="323">
        <v>0</v>
      </c>
    </row>
    <row r="603" spans="2:7" x14ac:dyDescent="0.25">
      <c r="B603" s="196"/>
      <c r="C603" s="196"/>
    </row>
    <row r="604" spans="2:7" x14ac:dyDescent="0.25">
      <c r="B604" s="196" t="s">
        <v>512</v>
      </c>
      <c r="C604" s="196"/>
    </row>
    <row r="605" spans="2:7" x14ac:dyDescent="0.25">
      <c r="B605" s="110" t="s">
        <v>513</v>
      </c>
      <c r="D605" s="339">
        <v>2022</v>
      </c>
      <c r="E605" s="339" t="s">
        <v>408</v>
      </c>
      <c r="F605" s="340" t="s">
        <v>34</v>
      </c>
      <c r="G605" s="341" t="s">
        <v>155</v>
      </c>
    </row>
    <row r="606" spans="2:7" x14ac:dyDescent="0.25">
      <c r="B606" s="110" t="s">
        <v>514</v>
      </c>
      <c r="D606" s="320">
        <v>30543525.441666659</v>
      </c>
      <c r="E606" s="321">
        <v>42116641.69750002</v>
      </c>
      <c r="F606" s="344">
        <f t="shared" ref="F606:F613" si="18">+D606-E606</f>
        <v>-11573116.255833361</v>
      </c>
      <c r="G606" s="322">
        <f t="shared" ref="G606:G613" si="19">+D606/E606-1</f>
        <v>-0.2747872524822017</v>
      </c>
    </row>
    <row r="607" spans="2:7" x14ac:dyDescent="0.25">
      <c r="B607" s="110" t="s">
        <v>515</v>
      </c>
      <c r="D607" s="320">
        <v>0</v>
      </c>
      <c r="E607" s="321">
        <v>45000</v>
      </c>
      <c r="F607" s="344">
        <f t="shared" si="18"/>
        <v>-45000</v>
      </c>
      <c r="G607" s="322">
        <f t="shared" si="19"/>
        <v>-1</v>
      </c>
    </row>
    <row r="608" spans="2:7" x14ac:dyDescent="0.25">
      <c r="B608" s="110" t="s">
        <v>516</v>
      </c>
      <c r="D608" s="320">
        <v>1397567.64</v>
      </c>
      <c r="E608" s="321">
        <v>2196567.6399999997</v>
      </c>
      <c r="F608" s="344">
        <f t="shared" si="18"/>
        <v>-798999.99999999977</v>
      </c>
      <c r="G608" s="322">
        <f t="shared" si="19"/>
        <v>-0.36374932665401549</v>
      </c>
    </row>
    <row r="609" spans="2:7" x14ac:dyDescent="0.25">
      <c r="B609" s="110" t="s">
        <v>517</v>
      </c>
      <c r="D609" s="320">
        <v>1250000</v>
      </c>
      <c r="E609" s="321">
        <v>1000000</v>
      </c>
      <c r="F609" s="344">
        <f t="shared" si="18"/>
        <v>250000</v>
      </c>
      <c r="G609" s="322">
        <v>0</v>
      </c>
    </row>
    <row r="610" spans="2:7" x14ac:dyDescent="0.25">
      <c r="B610" s="110" t="s">
        <v>518</v>
      </c>
      <c r="D610" s="320">
        <v>2598357.1999999997</v>
      </c>
      <c r="E610" s="321">
        <v>3031150</v>
      </c>
      <c r="F610" s="344">
        <f t="shared" si="18"/>
        <v>-432792.80000000028</v>
      </c>
      <c r="G610" s="322">
        <f t="shared" si="19"/>
        <v>-0.14278171651023552</v>
      </c>
    </row>
    <row r="611" spans="2:7" x14ac:dyDescent="0.25">
      <c r="B611" s="110" t="s">
        <v>519</v>
      </c>
      <c r="D611" s="320">
        <v>3923355.4299999992</v>
      </c>
      <c r="E611" s="321">
        <v>3370754.3299999996</v>
      </c>
      <c r="F611" s="344">
        <f t="shared" si="18"/>
        <v>552601.09999999963</v>
      </c>
      <c r="G611" s="322">
        <v>1</v>
      </c>
    </row>
    <row r="612" spans="2:7" x14ac:dyDescent="0.25">
      <c r="B612" s="110" t="s">
        <v>520</v>
      </c>
      <c r="D612" s="320">
        <v>3338300</v>
      </c>
      <c r="E612" s="321">
        <v>3736264.9299999997</v>
      </c>
      <c r="F612" s="344">
        <f t="shared" si="18"/>
        <v>-397964.9299999997</v>
      </c>
      <c r="G612" s="322">
        <f t="shared" si="19"/>
        <v>-0.10651410899815383</v>
      </c>
    </row>
    <row r="613" spans="2:7" x14ac:dyDescent="0.25">
      <c r="B613" s="110" t="s">
        <v>521</v>
      </c>
      <c r="D613" s="320">
        <v>39599979.773184687</v>
      </c>
      <c r="E613" s="321">
        <v>58317697.357199907</v>
      </c>
      <c r="F613" s="344">
        <f t="shared" si="18"/>
        <v>-18717717.58401522</v>
      </c>
      <c r="G613" s="322">
        <f t="shared" si="19"/>
        <v>-0.32096119072342499</v>
      </c>
    </row>
    <row r="614" spans="2:7" x14ac:dyDescent="0.25">
      <c r="B614" s="110" t="s">
        <v>522</v>
      </c>
      <c r="D614" s="320">
        <v>601500.06000000017</v>
      </c>
      <c r="F614" s="344"/>
    </row>
    <row r="615" spans="2:7" x14ac:dyDescent="0.25">
      <c r="B615" s="196" t="s">
        <v>162</v>
      </c>
      <c r="C615" s="196"/>
      <c r="D615" s="348">
        <f>SUM(D606:D614)</f>
        <v>83252585.544851348</v>
      </c>
      <c r="E615" s="482">
        <f>SUM(E606:E614)</f>
        <v>113814075.95469993</v>
      </c>
      <c r="F615" s="350">
        <f>SUM(F606:F614)</f>
        <v>-31162990.469848581</v>
      </c>
      <c r="G615" s="351">
        <f>+D615/E615-1</f>
        <v>-0.26852118381220802</v>
      </c>
    </row>
    <row r="616" spans="2:7" x14ac:dyDescent="0.25">
      <c r="B616" s="196"/>
      <c r="C616" s="196"/>
      <c r="D616" s="627">
        <v>0</v>
      </c>
      <c r="E616" s="353"/>
      <c r="F616" s="354"/>
      <c r="G616" s="355"/>
    </row>
    <row r="617" spans="2:7" hidden="1" x14ac:dyDescent="0.25">
      <c r="B617" s="196"/>
      <c r="C617" s="196"/>
      <c r="D617" s="628"/>
      <c r="E617" s="353"/>
      <c r="F617" s="354"/>
      <c r="G617" s="355"/>
    </row>
    <row r="618" spans="2:7" hidden="1" x14ac:dyDescent="0.25">
      <c r="B618" s="196"/>
      <c r="C618" s="196"/>
      <c r="D618" s="627"/>
      <c r="E618" s="353"/>
      <c r="F618" s="354"/>
      <c r="G618" s="355"/>
    </row>
    <row r="619" spans="2:7" hidden="1" x14ac:dyDescent="0.25">
      <c r="B619" s="196"/>
      <c r="C619" s="196"/>
      <c r="D619" s="627"/>
      <c r="E619" s="353"/>
      <c r="F619" s="354"/>
      <c r="G619" s="355"/>
    </row>
    <row r="620" spans="2:7" hidden="1" x14ac:dyDescent="0.25">
      <c r="B620" s="125" t="s">
        <v>523</v>
      </c>
      <c r="C620" s="125"/>
      <c r="D620" s="627"/>
      <c r="E620" s="353"/>
      <c r="F620" s="354"/>
      <c r="G620" s="355"/>
    </row>
    <row r="621" spans="2:7" hidden="1" x14ac:dyDescent="0.25">
      <c r="B621" s="196"/>
      <c r="C621" s="196"/>
      <c r="D621" s="536" t="s">
        <v>524</v>
      </c>
      <c r="E621" s="536" t="s">
        <v>525</v>
      </c>
      <c r="F621" s="340" t="s">
        <v>34</v>
      </c>
      <c r="G621" s="341" t="s">
        <v>155</v>
      </c>
    </row>
    <row r="622" spans="2:7" hidden="1" x14ac:dyDescent="0.25">
      <c r="B622" s="125"/>
      <c r="C622" s="125"/>
      <c r="D622" s="627">
        <v>0</v>
      </c>
      <c r="E622" s="353">
        <v>0</v>
      </c>
      <c r="F622" s="344">
        <f>+D622-E622</f>
        <v>0</v>
      </c>
      <c r="G622" s="322">
        <v>0</v>
      </c>
    </row>
    <row r="623" spans="2:7" hidden="1" x14ac:dyDescent="0.25">
      <c r="B623" s="196" t="s">
        <v>162</v>
      </c>
      <c r="C623" s="196"/>
      <c r="D623" s="365">
        <f>SUM(D622)</f>
        <v>0</v>
      </c>
      <c r="E623" s="482">
        <f>SUM(E622)</f>
        <v>0</v>
      </c>
      <c r="F623" s="350">
        <f>SUM(F622)</f>
        <v>0</v>
      </c>
      <c r="G623" s="351">
        <v>0</v>
      </c>
    </row>
    <row r="624" spans="2:7" x14ac:dyDescent="0.25">
      <c r="B624" s="196"/>
      <c r="C624" s="196"/>
      <c r="D624" s="627"/>
      <c r="E624" s="353"/>
      <c r="F624" s="354"/>
      <c r="G624" s="355"/>
    </row>
    <row r="625" spans="2:8" x14ac:dyDescent="0.25">
      <c r="B625" s="715" t="s">
        <v>526</v>
      </c>
      <c r="C625" s="715"/>
      <c r="D625" s="715"/>
      <c r="E625" s="715"/>
      <c r="F625" s="715"/>
      <c r="G625" s="715"/>
    </row>
    <row r="626" spans="2:8" x14ac:dyDescent="0.25">
      <c r="B626" s="196"/>
      <c r="C626" s="196"/>
    </row>
    <row r="627" spans="2:8" x14ac:dyDescent="0.25">
      <c r="B627" s="715" t="s">
        <v>527</v>
      </c>
      <c r="C627" s="715"/>
      <c r="D627" s="715"/>
      <c r="E627" s="715"/>
      <c r="F627" s="715"/>
      <c r="G627" s="715"/>
      <c r="H627" s="344"/>
    </row>
    <row r="628" spans="2:8" x14ac:dyDescent="0.25">
      <c r="B628" s="196"/>
      <c r="C628" s="196"/>
    </row>
    <row r="629" spans="2:8" x14ac:dyDescent="0.25">
      <c r="B629" s="196" t="s">
        <v>528</v>
      </c>
      <c r="C629" s="196"/>
      <c r="D629" s="339">
        <v>2022</v>
      </c>
      <c r="E629" s="339" t="s">
        <v>408</v>
      </c>
      <c r="F629" s="340" t="s">
        <v>34</v>
      </c>
      <c r="G629" s="341" t="s">
        <v>155</v>
      </c>
    </row>
    <row r="630" spans="2:8" x14ac:dyDescent="0.25">
      <c r="B630" s="110" t="s">
        <v>529</v>
      </c>
      <c r="D630" s="320">
        <v>31176576.172956988</v>
      </c>
      <c r="E630" s="321">
        <v>29223977.988462996</v>
      </c>
      <c r="F630" s="344">
        <f>+D630-E630</f>
        <v>1952598.1844939925</v>
      </c>
      <c r="G630" s="322">
        <f>+D630/E630-1</f>
        <v>6.6814934820469629E-2</v>
      </c>
    </row>
    <row r="631" spans="2:8" x14ac:dyDescent="0.25">
      <c r="B631" s="110" t="s">
        <v>530</v>
      </c>
      <c r="D631" s="320">
        <v>31247568.652699988</v>
      </c>
      <c r="E631" s="321">
        <v>29305760.536670014</v>
      </c>
      <c r="F631" s="344">
        <f>+D631-E631</f>
        <v>1941808.1160299741</v>
      </c>
      <c r="G631" s="322">
        <f>+D631/E631-1</f>
        <v>6.6260287413466346E-2</v>
      </c>
    </row>
    <row r="632" spans="2:8" x14ac:dyDescent="0.25">
      <c r="B632" s="110" t="s">
        <v>531</v>
      </c>
      <c r="D632" s="320">
        <v>4909295.5391600104</v>
      </c>
      <c r="E632" s="321">
        <v>4483431.198279989</v>
      </c>
      <c r="F632" s="344">
        <f>+D632-E632</f>
        <v>425864.34088002145</v>
      </c>
      <c r="G632" s="322">
        <f>+D632/E632-1</f>
        <v>9.4986255402647712E-2</v>
      </c>
    </row>
    <row r="633" spans="2:8" x14ac:dyDescent="0.25">
      <c r="B633" s="196" t="s">
        <v>162</v>
      </c>
      <c r="C633" s="196"/>
      <c r="D633" s="348">
        <f>SUM(D630:D632)</f>
        <v>67333440.364816993</v>
      </c>
      <c r="E633" s="482">
        <f>SUM(E630:E632)</f>
        <v>63013169.723413005</v>
      </c>
      <c r="F633" s="350">
        <f>SUM(F630:F632)</f>
        <v>4320270.641403988</v>
      </c>
      <c r="G633" s="351">
        <f>+D633/E633-1</f>
        <v>6.8561392171940794E-2</v>
      </c>
    </row>
    <row r="634" spans="2:8" x14ac:dyDescent="0.25">
      <c r="D634" s="629"/>
      <c r="E634" s="630"/>
    </row>
    <row r="635" spans="2:8" ht="18.75" thickBot="1" x14ac:dyDescent="0.3">
      <c r="B635" s="199" t="s">
        <v>532</v>
      </c>
      <c r="C635" s="199"/>
      <c r="D635" s="483">
        <f>+D633+D615+D601</f>
        <v>680099555.46476543</v>
      </c>
      <c r="E635" s="484">
        <f>+E601+E615+E623+E633</f>
        <v>605146149.85811234</v>
      </c>
      <c r="F635" s="485">
        <f>+F633+F615+F601</f>
        <v>100503349.15665308</v>
      </c>
      <c r="G635" s="631">
        <f>+D635/E635-1</f>
        <v>0.12386000575931511</v>
      </c>
    </row>
    <row r="636" spans="2:8" x14ac:dyDescent="0.25">
      <c r="B636" s="199"/>
      <c r="C636" s="199"/>
      <c r="D636" s="320">
        <v>0</v>
      </c>
    </row>
    <row r="637" spans="2:8" x14ac:dyDescent="0.25">
      <c r="B637" s="199"/>
      <c r="C637" s="199"/>
      <c r="D637" s="320">
        <v>0</v>
      </c>
    </row>
    <row r="638" spans="2:8" x14ac:dyDescent="0.25">
      <c r="B638" s="199" t="s">
        <v>533</v>
      </c>
      <c r="C638" s="199"/>
    </row>
    <row r="639" spans="2:8" x14ac:dyDescent="0.25">
      <c r="B639" s="199"/>
      <c r="C639" s="199"/>
    </row>
    <row r="640" spans="2:8" x14ac:dyDescent="0.25">
      <c r="B640" s="199" t="s">
        <v>534</v>
      </c>
      <c r="C640" s="632"/>
    </row>
    <row r="641" spans="2:8" x14ac:dyDescent="0.25">
      <c r="B641" s="199"/>
      <c r="C641" s="199"/>
    </row>
    <row r="642" spans="2:8" x14ac:dyDescent="0.25">
      <c r="D642" s="339">
        <v>2022</v>
      </c>
      <c r="E642" s="339" t="s">
        <v>408</v>
      </c>
      <c r="F642" s="340" t="s">
        <v>34</v>
      </c>
      <c r="G642" s="341" t="s">
        <v>155</v>
      </c>
    </row>
    <row r="643" spans="2:8" x14ac:dyDescent="0.25">
      <c r="B643" s="633" t="s">
        <v>535</v>
      </c>
      <c r="C643" s="633"/>
      <c r="D643" s="323">
        <v>0</v>
      </c>
      <c r="E643" s="634">
        <v>214329.49799999999</v>
      </c>
      <c r="F643" s="344">
        <f>+D643-E643</f>
        <v>-214329.49799999999</v>
      </c>
      <c r="G643" s="322">
        <f>+D643/E643-1</f>
        <v>-1</v>
      </c>
    </row>
    <row r="644" spans="2:8" ht="18.75" thickBot="1" x14ac:dyDescent="0.3">
      <c r="D644" s="635">
        <f>SUM(D643)</f>
        <v>0</v>
      </c>
      <c r="E644" s="635">
        <f>SUM(E643:E643)</f>
        <v>214329.49799999999</v>
      </c>
      <c r="F644" s="636">
        <f>SUM(F643:F643)</f>
        <v>-214329.49799999999</v>
      </c>
      <c r="G644" s="626">
        <f>+D644/E644-1</f>
        <v>-1</v>
      </c>
    </row>
    <row r="645" spans="2:8" ht="18.75" thickTop="1" x14ac:dyDescent="0.25">
      <c r="D645" s="473"/>
      <c r="E645" s="473"/>
      <c r="F645" s="354"/>
      <c r="G645" s="355"/>
    </row>
    <row r="646" spans="2:8" ht="19.5" thickBot="1" x14ac:dyDescent="0.35">
      <c r="B646" s="199" t="s">
        <v>536</v>
      </c>
      <c r="C646" s="199"/>
      <c r="D646" s="483">
        <f>+D644+D636</f>
        <v>0</v>
      </c>
      <c r="E646" s="637">
        <f>+E644+E636</f>
        <v>214329.49799999999</v>
      </c>
      <c r="F646" s="485">
        <f>+F644+F636</f>
        <v>-214329.49799999999</v>
      </c>
      <c r="G646" s="631">
        <f>+D646/E646-1</f>
        <v>-1</v>
      </c>
      <c r="H646" s="638"/>
    </row>
    <row r="647" spans="2:8" ht="18.75" x14ac:dyDescent="0.3">
      <c r="B647" s="199"/>
      <c r="C647" s="199"/>
      <c r="H647" s="638"/>
    </row>
    <row r="648" spans="2:8" ht="18.75" x14ac:dyDescent="0.3">
      <c r="B648" s="716" t="s">
        <v>537</v>
      </c>
      <c r="C648" s="716"/>
      <c r="D648" s="716"/>
      <c r="E648" s="716"/>
      <c r="F648" s="716"/>
      <c r="H648" s="638"/>
    </row>
    <row r="649" spans="2:8" ht="18.75" x14ac:dyDescent="0.3">
      <c r="B649" s="716"/>
      <c r="C649" s="716"/>
      <c r="D649" s="716"/>
      <c r="E649" s="716"/>
      <c r="F649" s="716"/>
      <c r="H649" s="638"/>
    </row>
    <row r="650" spans="2:8" ht="7.5" customHeight="1" x14ac:dyDescent="0.3">
      <c r="B650" s="716"/>
      <c r="C650" s="716"/>
      <c r="D650" s="716"/>
      <c r="E650" s="716"/>
      <c r="F650" s="716"/>
      <c r="H650" s="638"/>
    </row>
    <row r="651" spans="2:8" ht="18.75" x14ac:dyDescent="0.3">
      <c r="B651" s="639"/>
      <c r="C651" s="639"/>
      <c r="D651" s="640"/>
      <c r="E651" s="640"/>
      <c r="F651" s="639"/>
      <c r="H651" s="638"/>
    </row>
    <row r="652" spans="2:8" ht="18.75" x14ac:dyDescent="0.3">
      <c r="B652" s="199" t="s">
        <v>538</v>
      </c>
      <c r="C652" s="199"/>
      <c r="H652" s="638"/>
    </row>
    <row r="654" spans="2:8" x14ac:dyDescent="0.25">
      <c r="B654" s="125" t="s">
        <v>539</v>
      </c>
      <c r="C654" s="125"/>
    </row>
    <row r="655" spans="2:8" x14ac:dyDescent="0.25">
      <c r="D655" s="339">
        <v>2022</v>
      </c>
      <c r="E655" s="339" t="s">
        <v>408</v>
      </c>
      <c r="F655" s="340" t="s">
        <v>34</v>
      </c>
      <c r="G655" s="341" t="s">
        <v>155</v>
      </c>
    </row>
    <row r="656" spans="2:8" x14ac:dyDescent="0.25">
      <c r="B656" s="641" t="s">
        <v>540</v>
      </c>
      <c r="C656" s="641"/>
      <c r="D656" s="321">
        <f>68200363.8269999+3000</f>
        <v>68203363.826999903</v>
      </c>
      <c r="E656" s="321">
        <v>51022201.294999987</v>
      </c>
      <c r="F656" s="633">
        <f>+D656-E656</f>
        <v>17181162.531999916</v>
      </c>
      <c r="G656" s="322">
        <f t="shared" ref="G656:G662" si="20">+D656/E656-1</f>
        <v>0.33673895080813798</v>
      </c>
    </row>
    <row r="657" spans="2:10" x14ac:dyDescent="0.25">
      <c r="B657" s="641" t="s">
        <v>541</v>
      </c>
      <c r="C657" s="641"/>
      <c r="D657" s="321">
        <v>50974134.924999997</v>
      </c>
      <c r="E657" s="321">
        <v>47555090.365585417</v>
      </c>
      <c r="F657" s="633">
        <f t="shared" ref="F657:F662" si="21">+D657-E657</f>
        <v>3419044.5594145805</v>
      </c>
      <c r="G657" s="322">
        <f t="shared" si="20"/>
        <v>7.1896500103990402E-2</v>
      </c>
    </row>
    <row r="658" spans="2:10" x14ac:dyDescent="0.25">
      <c r="B658" s="641" t="s">
        <v>542</v>
      </c>
      <c r="C658" s="641"/>
      <c r="D658" s="321">
        <v>189106812.33500007</v>
      </c>
      <c r="E658" s="321">
        <v>200821915.47000012</v>
      </c>
      <c r="F658" s="633">
        <f t="shared" si="21"/>
        <v>-11715103.13500005</v>
      </c>
      <c r="G658" s="322">
        <f t="shared" si="20"/>
        <v>-5.8335780273692905E-2</v>
      </c>
    </row>
    <row r="659" spans="2:10" x14ac:dyDescent="0.25">
      <c r="B659" s="641" t="s">
        <v>543</v>
      </c>
      <c r="C659" s="641"/>
      <c r="D659" s="321">
        <v>24367439.414999992</v>
      </c>
      <c r="E659" s="321">
        <v>23037328.778999995</v>
      </c>
      <c r="F659" s="633">
        <f t="shared" si="21"/>
        <v>1330110.6359999962</v>
      </c>
      <c r="G659" s="322">
        <f t="shared" si="20"/>
        <v>5.7737190312293407E-2</v>
      </c>
    </row>
    <row r="660" spans="2:10" x14ac:dyDescent="0.25">
      <c r="B660" s="641" t="s">
        <v>544</v>
      </c>
      <c r="C660" s="641"/>
      <c r="D660" s="321">
        <v>9633300.6327644382</v>
      </c>
      <c r="E660" s="321">
        <v>12252276.97693067</v>
      </c>
      <c r="F660" s="633">
        <f t="shared" si="21"/>
        <v>-2618976.3441662323</v>
      </c>
      <c r="G660" s="322">
        <f t="shared" si="20"/>
        <v>-0.21375425556387595</v>
      </c>
    </row>
    <row r="661" spans="2:10" x14ac:dyDescent="0.25">
      <c r="B661" s="641" t="s">
        <v>545</v>
      </c>
      <c r="C661" s="641"/>
      <c r="D661" s="321">
        <v>12837578.059999999</v>
      </c>
      <c r="E661" s="321">
        <v>31350239.331278905</v>
      </c>
      <c r="F661" s="633">
        <f t="shared" si="21"/>
        <v>-18512661.271278907</v>
      </c>
      <c r="G661" s="322">
        <v>1</v>
      </c>
    </row>
    <row r="662" spans="2:10" x14ac:dyDescent="0.25">
      <c r="B662" s="641" t="s">
        <v>546</v>
      </c>
      <c r="C662" s="641"/>
      <c r="D662" s="321">
        <v>24545497.455000002</v>
      </c>
      <c r="E662" s="321">
        <v>10476635.839999998</v>
      </c>
      <c r="F662" s="633">
        <f t="shared" si="21"/>
        <v>14068861.615000004</v>
      </c>
      <c r="G662" s="322">
        <f t="shared" si="20"/>
        <v>1.3428797020208356</v>
      </c>
    </row>
    <row r="663" spans="2:10" x14ac:dyDescent="0.25">
      <c r="B663" s="622" t="s">
        <v>547</v>
      </c>
      <c r="C663" s="622"/>
      <c r="D663" s="642">
        <f>SUM(D656:D662)</f>
        <v>379668126.64976442</v>
      </c>
      <c r="E663" s="643">
        <f>SUM(E656:E662)</f>
        <v>376515688.05779511</v>
      </c>
      <c r="F663" s="644">
        <f>SUM(F656:F662)</f>
        <v>3152438.5919693075</v>
      </c>
      <c r="G663" s="645">
        <f>+D663/E663-1</f>
        <v>8.3726619951236536E-3</v>
      </c>
    </row>
    <row r="664" spans="2:10" x14ac:dyDescent="0.25">
      <c r="B664" s="344"/>
      <c r="C664" s="344"/>
      <c r="D664" s="495"/>
      <c r="E664" s="496"/>
      <c r="H664" s="113"/>
    </row>
    <row r="665" spans="2:10" x14ac:dyDescent="0.25">
      <c r="B665" s="196" t="s">
        <v>548</v>
      </c>
      <c r="C665" s="196"/>
      <c r="H665" s="113"/>
    </row>
    <row r="666" spans="2:10" x14ac:dyDescent="0.25">
      <c r="D666" s="339">
        <v>2022</v>
      </c>
      <c r="E666" s="339" t="s">
        <v>408</v>
      </c>
      <c r="F666" s="340" t="s">
        <v>34</v>
      </c>
      <c r="G666" s="341" t="s">
        <v>155</v>
      </c>
      <c r="H666" s="113"/>
    </row>
    <row r="667" spans="2:10" x14ac:dyDescent="0.25">
      <c r="B667" s="646" t="s">
        <v>549</v>
      </c>
      <c r="C667" s="646"/>
      <c r="D667" s="332">
        <v>897715.39</v>
      </c>
      <c r="E667" s="321">
        <v>436488.21</v>
      </c>
      <c r="F667" s="344">
        <f>+D667-E667</f>
        <v>461227.18</v>
      </c>
      <c r="G667" s="322">
        <f>+D667/E667-1</f>
        <v>1.0566772926123251</v>
      </c>
      <c r="H667" s="113"/>
    </row>
    <row r="668" spans="2:10" x14ac:dyDescent="0.25">
      <c r="B668" s="646" t="s">
        <v>550</v>
      </c>
      <c r="C668" s="646"/>
      <c r="D668" s="332">
        <v>540993.25</v>
      </c>
      <c r="E668" s="321">
        <v>8352.43</v>
      </c>
      <c r="F668" s="344">
        <f t="shared" ref="F668:F682" si="22">+D668-E668</f>
        <v>532640.81999999995</v>
      </c>
      <c r="G668" s="322">
        <f t="shared" ref="G668:G706" si="23">+D668/E668-1</f>
        <v>63.770761323351408</v>
      </c>
      <c r="H668" s="113"/>
    </row>
    <row r="669" spans="2:10" s="113" customFormat="1" x14ac:dyDescent="0.25">
      <c r="B669" s="646" t="s">
        <v>551</v>
      </c>
      <c r="C669" s="646"/>
      <c r="D669" s="332">
        <v>7369.02</v>
      </c>
      <c r="E669" s="321">
        <v>216241.88999999998</v>
      </c>
      <c r="F669" s="344">
        <f t="shared" si="22"/>
        <v>-208872.87</v>
      </c>
      <c r="G669" s="322">
        <f t="shared" si="23"/>
        <v>-0.96592232892526053</v>
      </c>
      <c r="I669" s="363"/>
      <c r="J669" s="111"/>
    </row>
    <row r="670" spans="2:10" s="113" customFormat="1" x14ac:dyDescent="0.25">
      <c r="B670" s="646" t="s">
        <v>552</v>
      </c>
      <c r="C670" s="646"/>
      <c r="D670" s="332">
        <v>321272.7</v>
      </c>
      <c r="E670" s="321">
        <v>32336.559999999998</v>
      </c>
      <c r="F670" s="344">
        <f t="shared" si="22"/>
        <v>288936.14</v>
      </c>
      <c r="G670" s="322">
        <v>1</v>
      </c>
      <c r="I670" s="363"/>
      <c r="J670" s="111"/>
    </row>
    <row r="671" spans="2:10" s="113" customFormat="1" x14ac:dyDescent="0.25">
      <c r="B671" s="646" t="s">
        <v>553</v>
      </c>
      <c r="C671" s="646"/>
      <c r="D671" s="332">
        <v>11772.1</v>
      </c>
      <c r="E671" s="321">
        <v>34965.319999999992</v>
      </c>
      <c r="F671" s="344">
        <f t="shared" si="22"/>
        <v>-23193.219999999994</v>
      </c>
      <c r="G671" s="322">
        <f t="shared" si="23"/>
        <v>-0.663320684609779</v>
      </c>
      <c r="I671" s="363"/>
      <c r="J671" s="111"/>
    </row>
    <row r="672" spans="2:10" s="113" customFormat="1" x14ac:dyDescent="0.25">
      <c r="B672" s="646" t="s">
        <v>554</v>
      </c>
      <c r="C672" s="646"/>
      <c r="D672" s="332">
        <v>0</v>
      </c>
      <c r="E672" s="321">
        <v>45472.799978485367</v>
      </c>
      <c r="F672" s="633">
        <f t="shared" si="22"/>
        <v>-45472.799978485367</v>
      </c>
      <c r="G672" s="322">
        <f t="shared" si="23"/>
        <v>-1</v>
      </c>
      <c r="I672" s="363"/>
      <c r="J672" s="111"/>
    </row>
    <row r="673" spans="2:10" s="113" customFormat="1" x14ac:dyDescent="0.25">
      <c r="B673" s="646" t="s">
        <v>555</v>
      </c>
      <c r="C673" s="646"/>
      <c r="D673" s="332">
        <v>4923924.0802455656</v>
      </c>
      <c r="E673" s="321">
        <v>1882.97</v>
      </c>
      <c r="F673" s="633">
        <f t="shared" si="22"/>
        <v>4922041.1102455659</v>
      </c>
      <c r="G673" s="322">
        <v>1</v>
      </c>
      <c r="I673" s="363"/>
      <c r="J673" s="111"/>
    </row>
    <row r="674" spans="2:10" s="113" customFormat="1" x14ac:dyDescent="0.25">
      <c r="B674" s="646" t="s">
        <v>556</v>
      </c>
      <c r="C674" s="646"/>
      <c r="D674" s="332">
        <v>0</v>
      </c>
      <c r="E674" s="321">
        <v>3565800.8814475639</v>
      </c>
      <c r="F674" s="633">
        <f t="shared" si="22"/>
        <v>-3565800.8814475639</v>
      </c>
      <c r="G674" s="322">
        <f t="shared" si="23"/>
        <v>-1</v>
      </c>
      <c r="I674" s="363"/>
      <c r="J674" s="111"/>
    </row>
    <row r="675" spans="2:10" s="113" customFormat="1" x14ac:dyDescent="0.25">
      <c r="B675" s="646" t="s">
        <v>557</v>
      </c>
      <c r="C675" s="646"/>
      <c r="D675" s="332">
        <v>4191873.36</v>
      </c>
      <c r="E675" s="321">
        <v>700617.1993667183</v>
      </c>
      <c r="F675" s="633">
        <f t="shared" si="22"/>
        <v>3491256.1606332818</v>
      </c>
      <c r="G675" s="322">
        <f t="shared" si="23"/>
        <v>4.9831151216227596</v>
      </c>
      <c r="I675" s="363"/>
      <c r="J675" s="111"/>
    </row>
    <row r="676" spans="2:10" s="113" customFormat="1" x14ac:dyDescent="0.25">
      <c r="B676" s="646" t="s">
        <v>558</v>
      </c>
      <c r="C676" s="646"/>
      <c r="D676" s="332">
        <f>1414191.05</f>
        <v>1414191.05</v>
      </c>
      <c r="E676" s="321">
        <v>0</v>
      </c>
      <c r="F676" s="633">
        <f t="shared" si="22"/>
        <v>1414191.05</v>
      </c>
      <c r="G676" s="322">
        <v>1</v>
      </c>
      <c r="I676" s="363"/>
      <c r="J676" s="111"/>
    </row>
    <row r="677" spans="2:10" s="113" customFormat="1" x14ac:dyDescent="0.25">
      <c r="B677" s="646" t="s">
        <v>559</v>
      </c>
      <c r="C677" s="646"/>
      <c r="D677" s="332">
        <v>235410</v>
      </c>
      <c r="E677" s="321">
        <v>0</v>
      </c>
      <c r="F677" s="633">
        <f t="shared" si="22"/>
        <v>235410</v>
      </c>
      <c r="G677" s="322">
        <v>1</v>
      </c>
      <c r="I677" s="363"/>
      <c r="J677" s="111"/>
    </row>
    <row r="678" spans="2:10" s="113" customFormat="1" x14ac:dyDescent="0.25">
      <c r="B678" s="646" t="s">
        <v>560</v>
      </c>
      <c r="C678" s="646"/>
      <c r="D678" s="332">
        <v>541379.78</v>
      </c>
      <c r="E678" s="321">
        <v>430</v>
      </c>
      <c r="F678" s="633">
        <f>+D678-E678</f>
        <v>540949.78</v>
      </c>
      <c r="G678" s="322">
        <f t="shared" si="23"/>
        <v>1258.0227441860466</v>
      </c>
      <c r="I678" s="363"/>
      <c r="J678" s="111"/>
    </row>
    <row r="679" spans="2:10" s="113" customFormat="1" x14ac:dyDescent="0.25">
      <c r="B679" s="646" t="s">
        <v>561</v>
      </c>
      <c r="C679" s="646"/>
      <c r="D679" s="332">
        <v>0</v>
      </c>
      <c r="E679" s="321">
        <v>124217.92</v>
      </c>
      <c r="F679" s="633">
        <f t="shared" si="22"/>
        <v>-124217.92</v>
      </c>
      <c r="G679" s="322">
        <f t="shared" si="23"/>
        <v>-1</v>
      </c>
      <c r="I679" s="363"/>
      <c r="J679" s="111"/>
    </row>
    <row r="680" spans="2:10" s="113" customFormat="1" x14ac:dyDescent="0.25">
      <c r="B680" s="646" t="s">
        <v>562</v>
      </c>
      <c r="C680" s="646"/>
      <c r="D680" s="332">
        <v>0</v>
      </c>
      <c r="E680" s="321">
        <v>2334765.0133003592</v>
      </c>
      <c r="F680" s="633">
        <f t="shared" si="22"/>
        <v>-2334765.0133003592</v>
      </c>
      <c r="G680" s="322">
        <f t="shared" si="23"/>
        <v>-1</v>
      </c>
      <c r="I680" s="363"/>
      <c r="J680" s="111"/>
    </row>
    <row r="681" spans="2:10" s="113" customFormat="1" x14ac:dyDescent="0.25">
      <c r="B681" s="646" t="s">
        <v>563</v>
      </c>
      <c r="C681" s="646"/>
      <c r="D681" s="332">
        <v>3442979.9277973007</v>
      </c>
      <c r="E681" s="321">
        <v>7239307.9775571022</v>
      </c>
      <c r="F681" s="633">
        <f t="shared" si="22"/>
        <v>-3796328.0497598015</v>
      </c>
      <c r="G681" s="322">
        <f t="shared" si="23"/>
        <v>-0.52440482730241145</v>
      </c>
      <c r="I681" s="363"/>
      <c r="J681" s="111"/>
    </row>
    <row r="682" spans="2:10" s="113" customFormat="1" x14ac:dyDescent="0.25">
      <c r="B682" s="646" t="s">
        <v>564</v>
      </c>
      <c r="C682" s="646"/>
      <c r="D682" s="332">
        <v>2198.15</v>
      </c>
      <c r="E682" s="321">
        <v>0</v>
      </c>
      <c r="F682" s="633">
        <f t="shared" si="22"/>
        <v>2198.15</v>
      </c>
      <c r="G682" s="322">
        <v>0</v>
      </c>
      <c r="I682" s="363"/>
      <c r="J682" s="111"/>
    </row>
    <row r="683" spans="2:10" s="113" customFormat="1" x14ac:dyDescent="0.25">
      <c r="B683" s="646" t="s">
        <v>565</v>
      </c>
      <c r="C683" s="646"/>
      <c r="D683" s="321">
        <v>0</v>
      </c>
      <c r="E683" s="321">
        <v>774174.99999999988</v>
      </c>
      <c r="F683" s="633">
        <f>+D684-E683</f>
        <v>2741382.79</v>
      </c>
      <c r="G683" s="322">
        <v>1</v>
      </c>
      <c r="I683" s="363"/>
      <c r="J683" s="111"/>
    </row>
    <row r="684" spans="2:10" s="113" customFormat="1" x14ac:dyDescent="0.25">
      <c r="B684" s="646" t="s">
        <v>566</v>
      </c>
      <c r="C684" s="646"/>
      <c r="D684" s="332">
        <v>3515557.79</v>
      </c>
      <c r="E684" s="321">
        <v>56301.950000000004</v>
      </c>
      <c r="F684" s="633">
        <f>+D685-E684</f>
        <v>749443.60000000009</v>
      </c>
      <c r="G684" s="322">
        <f>+D685/E684-1</f>
        <v>13.311148192913389</v>
      </c>
      <c r="I684" s="363"/>
      <c r="J684" s="111"/>
    </row>
    <row r="685" spans="2:10" s="113" customFormat="1" x14ac:dyDescent="0.25">
      <c r="B685" s="646" t="s">
        <v>567</v>
      </c>
      <c r="C685" s="646"/>
      <c r="D685" s="332">
        <v>805745.55</v>
      </c>
      <c r="E685" s="321">
        <v>6883</v>
      </c>
      <c r="F685" s="633">
        <f>+D686-E685</f>
        <v>-4823</v>
      </c>
      <c r="G685" s="322">
        <f>+D686/E685-1</f>
        <v>-0.7007118988813017</v>
      </c>
      <c r="I685" s="363"/>
      <c r="J685" s="111"/>
    </row>
    <row r="686" spans="2:10" s="113" customFormat="1" x14ac:dyDescent="0.25">
      <c r="B686" s="646" t="s">
        <v>568</v>
      </c>
      <c r="C686" s="646"/>
      <c r="D686" s="332">
        <v>2060</v>
      </c>
      <c r="E686" s="321">
        <v>523529.79</v>
      </c>
      <c r="F686" s="633">
        <v>0</v>
      </c>
      <c r="G686" s="322">
        <v>0</v>
      </c>
      <c r="I686" s="363"/>
      <c r="J686" s="111"/>
    </row>
    <row r="687" spans="2:10" s="113" customFormat="1" hidden="1" x14ac:dyDescent="0.25">
      <c r="B687" s="646" t="s">
        <v>569</v>
      </c>
      <c r="C687" s="646"/>
      <c r="D687" s="332"/>
      <c r="E687" s="321"/>
      <c r="F687" s="633">
        <f>+D687-E687</f>
        <v>0</v>
      </c>
      <c r="G687" s="322">
        <v>0</v>
      </c>
      <c r="I687" s="363"/>
      <c r="J687" s="111"/>
    </row>
    <row r="688" spans="2:10" hidden="1" x14ac:dyDescent="0.25">
      <c r="B688" s="646" t="s">
        <v>570</v>
      </c>
      <c r="C688" s="646"/>
      <c r="D688" s="332"/>
      <c r="F688" s="633">
        <f>+D688-E688</f>
        <v>0</v>
      </c>
      <c r="G688" s="322">
        <v>1</v>
      </c>
      <c r="H688" s="113"/>
    </row>
    <row r="689" spans="2:8" x14ac:dyDescent="0.25">
      <c r="B689" s="646" t="s">
        <v>571</v>
      </c>
      <c r="C689" s="646"/>
      <c r="D689" s="332">
        <v>45557.06</v>
      </c>
      <c r="E689" s="321">
        <v>0</v>
      </c>
      <c r="F689" s="633">
        <f>+D689-E689</f>
        <v>45557.06</v>
      </c>
      <c r="G689" s="322">
        <v>1</v>
      </c>
      <c r="H689" s="113"/>
    </row>
    <row r="690" spans="2:8" x14ac:dyDescent="0.25">
      <c r="B690" s="646" t="s">
        <v>572</v>
      </c>
      <c r="C690" s="646"/>
      <c r="D690" s="332">
        <v>0</v>
      </c>
      <c r="E690" s="321">
        <v>164138</v>
      </c>
      <c r="F690" s="633">
        <f t="shared" ref="F690:F701" si="24">+D690-E690</f>
        <v>-164138</v>
      </c>
      <c r="G690" s="322">
        <v>0</v>
      </c>
      <c r="H690" s="113"/>
    </row>
    <row r="691" spans="2:8" x14ac:dyDescent="0.25">
      <c r="B691" s="646" t="s">
        <v>573</v>
      </c>
      <c r="C691" s="646"/>
      <c r="D691" s="332">
        <v>622236.11</v>
      </c>
      <c r="E691" s="321">
        <v>48428.729999999996</v>
      </c>
      <c r="F691" s="633">
        <f>+D691-E691</f>
        <v>573807.38</v>
      </c>
      <c r="G691" s="322">
        <f t="shared" si="23"/>
        <v>11.848491174556921</v>
      </c>
      <c r="H691" s="113"/>
    </row>
    <row r="692" spans="2:8" x14ac:dyDescent="0.25">
      <c r="B692" s="646" t="s">
        <v>574</v>
      </c>
      <c r="C692" s="646"/>
      <c r="D692" s="332">
        <v>327961.51</v>
      </c>
      <c r="E692" s="321">
        <v>0</v>
      </c>
      <c r="F692" s="633">
        <f>+D692-E692</f>
        <v>327961.51</v>
      </c>
      <c r="G692" s="322">
        <v>1</v>
      </c>
      <c r="H692" s="113"/>
    </row>
    <row r="693" spans="2:8" x14ac:dyDescent="0.25">
      <c r="B693" s="646" t="s">
        <v>575</v>
      </c>
      <c r="C693" s="646"/>
      <c r="D693" s="332">
        <v>9204</v>
      </c>
      <c r="E693" s="321">
        <v>262231.00754061446</v>
      </c>
      <c r="F693" s="633">
        <f t="shared" si="24"/>
        <v>-253027.00754061446</v>
      </c>
      <c r="G693" s="322">
        <v>0</v>
      </c>
      <c r="H693" s="113"/>
    </row>
    <row r="694" spans="2:8" x14ac:dyDescent="0.25">
      <c r="B694" s="646" t="s">
        <v>576</v>
      </c>
      <c r="C694" s="646"/>
      <c r="D694" s="332">
        <v>0</v>
      </c>
      <c r="E694" s="321">
        <v>63507.6</v>
      </c>
      <c r="F694" s="633">
        <f>+D694-E694</f>
        <v>-63507.6</v>
      </c>
      <c r="G694" s="322">
        <f t="shared" si="23"/>
        <v>-1</v>
      </c>
      <c r="H694" s="111"/>
    </row>
    <row r="695" spans="2:8" x14ac:dyDescent="0.25">
      <c r="B695" s="646" t="s">
        <v>577</v>
      </c>
      <c r="C695" s="646"/>
      <c r="D695" s="332">
        <v>2943237.58</v>
      </c>
      <c r="F695" s="633">
        <f>+D695-E695</f>
        <v>2943237.58</v>
      </c>
      <c r="G695" s="322">
        <v>1</v>
      </c>
      <c r="H695" s="111"/>
    </row>
    <row r="696" spans="2:8" x14ac:dyDescent="0.25">
      <c r="B696" s="646" t="s">
        <v>578</v>
      </c>
      <c r="C696" s="646"/>
      <c r="D696" s="332">
        <v>9643520.2200000007</v>
      </c>
      <c r="E696" s="321">
        <v>4906363.6409624098</v>
      </c>
      <c r="F696" s="633">
        <f>+D696-E696</f>
        <v>4737156.5790375909</v>
      </c>
      <c r="G696" s="322">
        <f t="shared" si="23"/>
        <v>0.96551273523386283</v>
      </c>
      <c r="H696" s="111"/>
    </row>
    <row r="697" spans="2:8" x14ac:dyDescent="0.25">
      <c r="B697" s="646" t="s">
        <v>579</v>
      </c>
      <c r="C697" s="646"/>
      <c r="D697" s="332"/>
      <c r="E697" s="321">
        <v>9276651.7200000007</v>
      </c>
      <c r="F697" s="633">
        <f t="shared" si="24"/>
        <v>-9276651.7200000007</v>
      </c>
      <c r="H697" s="113"/>
    </row>
    <row r="698" spans="2:8" ht="18.600000000000001" hidden="1" customHeight="1" x14ac:dyDescent="0.25">
      <c r="B698" s="646" t="s">
        <v>580</v>
      </c>
      <c r="C698" s="646"/>
      <c r="D698" s="332">
        <v>0</v>
      </c>
      <c r="F698" s="633">
        <f>+D698-E698</f>
        <v>0</v>
      </c>
      <c r="H698" s="113"/>
    </row>
    <row r="699" spans="2:8" hidden="1" x14ac:dyDescent="0.25">
      <c r="B699" s="646" t="s">
        <v>581</v>
      </c>
      <c r="C699" s="646"/>
      <c r="D699" s="332">
        <v>0</v>
      </c>
      <c r="E699" s="321">
        <v>0</v>
      </c>
      <c r="F699" s="633">
        <f t="shared" si="24"/>
        <v>0</v>
      </c>
      <c r="H699" s="113"/>
    </row>
    <row r="700" spans="2:8" x14ac:dyDescent="0.25">
      <c r="B700" s="646" t="s">
        <v>582</v>
      </c>
      <c r="C700" s="646"/>
      <c r="D700" s="332">
        <v>33500</v>
      </c>
      <c r="E700" s="321">
        <v>0</v>
      </c>
      <c r="F700" s="633"/>
      <c r="H700" s="113"/>
    </row>
    <row r="701" spans="2:8" hidden="1" x14ac:dyDescent="0.25">
      <c r="B701" s="646" t="s">
        <v>583</v>
      </c>
      <c r="C701" s="646"/>
      <c r="D701" s="332">
        <v>0</v>
      </c>
      <c r="E701" s="321">
        <v>0</v>
      </c>
      <c r="F701" s="633">
        <f t="shared" si="24"/>
        <v>0</v>
      </c>
      <c r="G701" s="322">
        <v>1</v>
      </c>
      <c r="H701" s="113"/>
    </row>
    <row r="702" spans="2:8" x14ac:dyDescent="0.25">
      <c r="B702" s="646" t="s">
        <v>584</v>
      </c>
      <c r="C702" s="646"/>
      <c r="D702" s="332">
        <v>0</v>
      </c>
      <c r="E702" s="321">
        <v>600</v>
      </c>
      <c r="F702" s="633">
        <f>E702-D702</f>
        <v>600</v>
      </c>
      <c r="G702" s="322">
        <f t="shared" si="23"/>
        <v>-1</v>
      </c>
      <c r="H702" s="113"/>
    </row>
    <row r="703" spans="2:8" x14ac:dyDescent="0.25">
      <c r="B703" s="646" t="s">
        <v>585</v>
      </c>
      <c r="C703" s="646"/>
      <c r="D703" s="332">
        <v>257628.32</v>
      </c>
      <c r="E703" s="321">
        <v>0</v>
      </c>
      <c r="F703" s="344">
        <f>+D703-E703</f>
        <v>257628.32</v>
      </c>
      <c r="G703" s="322">
        <v>0.39771787536126535</v>
      </c>
      <c r="H703" s="113"/>
    </row>
    <row r="704" spans="2:8" x14ac:dyDescent="0.25">
      <c r="B704" s="646" t="s">
        <v>586</v>
      </c>
      <c r="C704" s="646"/>
      <c r="D704" s="332">
        <v>3415685.26</v>
      </c>
      <c r="E704" s="321">
        <v>10907.12</v>
      </c>
      <c r="F704" s="344">
        <f>+D704-E704</f>
        <v>3404778.1399999997</v>
      </c>
      <c r="G704" s="322">
        <f t="shared" si="23"/>
        <v>312.16105993149426</v>
      </c>
      <c r="H704" s="113"/>
    </row>
    <row r="705" spans="2:10" x14ac:dyDescent="0.25">
      <c r="B705" s="646" t="s">
        <v>587</v>
      </c>
      <c r="C705" s="646"/>
      <c r="D705" s="332">
        <f>6201547.3-391131</f>
        <v>5810416.2999999998</v>
      </c>
      <c r="E705" s="321">
        <v>2287737.0464999997</v>
      </c>
      <c r="F705" s="344">
        <f>+D705-E705</f>
        <v>3522679.2535000001</v>
      </c>
      <c r="G705" s="322">
        <f t="shared" si="23"/>
        <v>1.5398095069052338</v>
      </c>
      <c r="H705" s="113"/>
    </row>
    <row r="706" spans="2:10" x14ac:dyDescent="0.25">
      <c r="B706" s="646" t="s">
        <v>588</v>
      </c>
      <c r="C706" s="646"/>
      <c r="D706" s="332">
        <v>189756.75</v>
      </c>
      <c r="E706" s="321">
        <v>3620339.6375798155</v>
      </c>
      <c r="F706" s="344">
        <f>+D706-E706</f>
        <v>-3430582.8875798155</v>
      </c>
      <c r="G706" s="322">
        <f t="shared" si="23"/>
        <v>-0.94758592590863888</v>
      </c>
      <c r="H706" s="113"/>
    </row>
    <row r="707" spans="2:10" x14ac:dyDescent="0.25">
      <c r="B707" s="646" t="s">
        <v>589</v>
      </c>
      <c r="C707" s="646"/>
      <c r="D707" s="332">
        <v>0</v>
      </c>
      <c r="E707" s="321">
        <v>62095.1</v>
      </c>
      <c r="F707" s="344">
        <f>+D707-E707</f>
        <v>-62095.1</v>
      </c>
      <c r="G707" s="322">
        <v>1</v>
      </c>
      <c r="H707" s="113"/>
    </row>
    <row r="708" spans="2:10" hidden="1" x14ac:dyDescent="0.25">
      <c r="B708" s="646" t="s">
        <v>590</v>
      </c>
      <c r="C708" s="646"/>
      <c r="D708" s="332"/>
      <c r="F708" s="344"/>
      <c r="G708" s="322">
        <v>0</v>
      </c>
      <c r="H708" s="113"/>
    </row>
    <row r="709" spans="2:10" s="113" customFormat="1" hidden="1" x14ac:dyDescent="0.25">
      <c r="B709" s="646" t="s">
        <v>591</v>
      </c>
      <c r="C709" s="646"/>
      <c r="D709" s="332"/>
      <c r="E709" s="321"/>
      <c r="F709" s="344">
        <f t="shared" ref="F709:F714" si="25">+D709-E709</f>
        <v>0</v>
      </c>
      <c r="G709" s="322"/>
      <c r="I709" s="363"/>
      <c r="J709" s="111"/>
    </row>
    <row r="710" spans="2:10" s="113" customFormat="1" hidden="1" x14ac:dyDescent="0.25">
      <c r="B710" s="646" t="s">
        <v>592</v>
      </c>
      <c r="C710" s="646"/>
      <c r="D710" s="332"/>
      <c r="E710" s="321"/>
      <c r="F710" s="344">
        <f t="shared" si="25"/>
        <v>0</v>
      </c>
      <c r="G710" s="322"/>
      <c r="I710" s="363"/>
      <c r="J710" s="111"/>
    </row>
    <row r="711" spans="2:10" s="113" customFormat="1" x14ac:dyDescent="0.25">
      <c r="B711" s="646" t="s">
        <v>593</v>
      </c>
      <c r="C711" s="646"/>
      <c r="D711" s="332">
        <f>308070+1825</f>
        <v>309895</v>
      </c>
      <c r="E711" s="321">
        <v>0</v>
      </c>
      <c r="F711" s="344">
        <f t="shared" si="25"/>
        <v>309895</v>
      </c>
      <c r="G711" s="322"/>
      <c r="I711" s="363"/>
      <c r="J711" s="111"/>
    </row>
    <row r="712" spans="2:10" s="113" customFormat="1" hidden="1" x14ac:dyDescent="0.25">
      <c r="B712" s="646" t="s">
        <v>592</v>
      </c>
      <c r="C712" s="646"/>
      <c r="D712" s="332"/>
      <c r="E712" s="321"/>
      <c r="F712" s="344">
        <f t="shared" si="25"/>
        <v>0</v>
      </c>
      <c r="G712" s="322">
        <v>1</v>
      </c>
      <c r="I712" s="363"/>
      <c r="J712" s="111"/>
    </row>
    <row r="713" spans="2:10" s="113" customFormat="1" x14ac:dyDescent="0.25">
      <c r="B713" s="646" t="s">
        <v>594</v>
      </c>
      <c r="C713" s="646"/>
      <c r="D713" s="332">
        <v>789150</v>
      </c>
      <c r="E713" s="321">
        <v>0</v>
      </c>
      <c r="F713" s="344">
        <f t="shared" si="25"/>
        <v>789150</v>
      </c>
      <c r="G713" s="322"/>
      <c r="I713" s="363"/>
      <c r="J713" s="111"/>
    </row>
    <row r="714" spans="2:10" s="113" customFormat="1" ht="18" customHeight="1" x14ac:dyDescent="0.25">
      <c r="B714" s="646" t="s">
        <v>595</v>
      </c>
      <c r="C714" s="646"/>
      <c r="D714" s="332">
        <f>2480128.14</f>
        <v>2480128.14</v>
      </c>
      <c r="E714" s="321">
        <v>4800.2</v>
      </c>
      <c r="F714" s="344">
        <f t="shared" si="25"/>
        <v>2475327.94</v>
      </c>
      <c r="G714" s="322">
        <v>1</v>
      </c>
      <c r="I714" s="363"/>
      <c r="J714" s="111"/>
    </row>
    <row r="715" spans="2:10" s="113" customFormat="1" ht="18" customHeight="1" x14ac:dyDescent="0.25">
      <c r="B715" s="646" t="s">
        <v>596</v>
      </c>
      <c r="C715" s="646"/>
      <c r="D715" s="323">
        <v>0</v>
      </c>
      <c r="E715" s="321">
        <v>1874112.3786520001</v>
      </c>
      <c r="F715" s="344"/>
      <c r="G715" s="322"/>
      <c r="I715" s="363"/>
      <c r="J715" s="111"/>
    </row>
    <row r="716" spans="2:10" s="113" customFormat="1" ht="18" customHeight="1" x14ac:dyDescent="0.25">
      <c r="B716" s="646" t="s">
        <v>597</v>
      </c>
      <c r="C716" s="646"/>
      <c r="D716" s="323">
        <v>324.97000000000003</v>
      </c>
      <c r="E716" s="321">
        <v>0</v>
      </c>
      <c r="F716" s="344"/>
      <c r="G716" s="322"/>
      <c r="I716" s="363"/>
      <c r="J716" s="111"/>
    </row>
    <row r="717" spans="2:10" s="113" customFormat="1" x14ac:dyDescent="0.25">
      <c r="B717" s="113" t="s">
        <v>162</v>
      </c>
      <c r="D717" s="348">
        <f>SUM(D667:D714)</f>
        <v>47732318.398042865</v>
      </c>
      <c r="E717" s="349">
        <f>SUM(E667:E716)</f>
        <v>38683681.09288507</v>
      </c>
      <c r="F717" s="477">
        <f>SUM(F667:F714)</f>
        <v>11413979.473809797</v>
      </c>
      <c r="G717" s="647">
        <f>+D717/E717-1</f>
        <v>0.23391355345502718</v>
      </c>
      <c r="H717" s="648"/>
      <c r="I717" s="363"/>
      <c r="J717" s="111"/>
    </row>
    <row r="718" spans="2:10" s="199" customFormat="1" x14ac:dyDescent="0.25">
      <c r="B718" s="113"/>
      <c r="C718" s="113"/>
      <c r="D718" s="323"/>
      <c r="E718" s="321"/>
      <c r="F718" s="633"/>
      <c r="G718" s="324"/>
      <c r="H718" s="649"/>
      <c r="I718" s="650"/>
      <c r="J718" s="651"/>
    </row>
    <row r="719" spans="2:10" ht="18.75" thickBot="1" x14ac:dyDescent="0.3">
      <c r="B719" s="325" t="s">
        <v>598</v>
      </c>
      <c r="C719" s="325"/>
      <c r="D719" s="483">
        <f>+D717+D663</f>
        <v>427400445.04780728</v>
      </c>
      <c r="E719" s="484">
        <f>+E717+E663</f>
        <v>415199369.15068018</v>
      </c>
      <c r="F719" s="652">
        <f>+F717+F663</f>
        <v>14566418.065779105</v>
      </c>
      <c r="G719" s="653">
        <f>+D719/E719-1</f>
        <v>2.9386065595632394E-2</v>
      </c>
    </row>
    <row r="720" spans="2:10" x14ac:dyDescent="0.25">
      <c r="B720" s="717"/>
      <c r="C720" s="717"/>
      <c r="D720" s="717"/>
      <c r="E720" s="717"/>
      <c r="F720" s="717"/>
    </row>
    <row r="721" spans="2:6" hidden="1" x14ac:dyDescent="0.25">
      <c r="B721" s="654" t="s">
        <v>548</v>
      </c>
      <c r="C721" s="654"/>
      <c r="D721" s="655"/>
      <c r="E721" s="655"/>
      <c r="F721" s="639"/>
    </row>
    <row r="722" spans="2:6" hidden="1" x14ac:dyDescent="0.25">
      <c r="B722" s="654"/>
      <c r="C722" s="654"/>
      <c r="D722" s="655"/>
      <c r="E722" s="655"/>
      <c r="F722" s="639"/>
    </row>
    <row r="723" spans="2:6" ht="36" hidden="1" x14ac:dyDescent="0.25">
      <c r="B723" s="656" t="s">
        <v>599</v>
      </c>
      <c r="C723" s="656"/>
      <c r="D723" s="655"/>
      <c r="E723" s="655"/>
      <c r="F723" s="639"/>
    </row>
    <row r="724" spans="2:6" hidden="1" x14ac:dyDescent="0.25">
      <c r="B724" s="654"/>
      <c r="C724" s="654"/>
      <c r="D724" s="655"/>
      <c r="E724" s="655"/>
      <c r="F724" s="639"/>
    </row>
    <row r="725" spans="2:6" hidden="1" x14ac:dyDescent="0.25">
      <c r="B725" s="657"/>
      <c r="C725" s="657"/>
      <c r="D725" s="655"/>
      <c r="E725" s="655"/>
      <c r="F725" s="639"/>
    </row>
    <row r="726" spans="2:6" hidden="1" x14ac:dyDescent="0.25">
      <c r="B726" s="657"/>
      <c r="C726" s="657"/>
      <c r="D726" s="655"/>
      <c r="E726" s="655"/>
      <c r="F726" s="639"/>
    </row>
    <row r="727" spans="2:6" hidden="1" x14ac:dyDescent="0.25">
      <c r="B727" s="657"/>
      <c r="C727" s="657"/>
      <c r="D727" s="655"/>
      <c r="E727" s="655"/>
      <c r="F727" s="639"/>
    </row>
    <row r="728" spans="2:6" hidden="1" x14ac:dyDescent="0.25">
      <c r="B728" s="657"/>
      <c r="C728" s="657"/>
      <c r="D728" s="655"/>
      <c r="E728" s="655"/>
      <c r="F728" s="639"/>
    </row>
    <row r="729" spans="2:6" hidden="1" x14ac:dyDescent="0.25">
      <c r="B729" s="657"/>
      <c r="C729" s="657"/>
      <c r="D729" s="655"/>
      <c r="E729" s="655"/>
      <c r="F729" s="639"/>
    </row>
    <row r="730" spans="2:6" hidden="1" x14ac:dyDescent="0.25">
      <c r="B730" s="657"/>
      <c r="C730" s="657"/>
      <c r="D730" s="655"/>
      <c r="E730" s="655"/>
      <c r="F730" s="639"/>
    </row>
    <row r="731" spans="2:6" hidden="1" x14ac:dyDescent="0.25">
      <c r="B731" s="654"/>
      <c r="C731" s="654"/>
      <c r="D731" s="655"/>
      <c r="E731" s="655"/>
      <c r="F731" s="639"/>
    </row>
    <row r="732" spans="2:6" ht="36" hidden="1" x14ac:dyDescent="0.25">
      <c r="B732" s="656" t="s">
        <v>600</v>
      </c>
      <c r="C732" s="656"/>
      <c r="D732" s="655"/>
      <c r="E732" s="655"/>
      <c r="F732" s="639"/>
    </row>
    <row r="733" spans="2:6" hidden="1" x14ac:dyDescent="0.25">
      <c r="B733" s="654"/>
      <c r="C733" s="654"/>
      <c r="D733" s="655"/>
      <c r="E733" s="655"/>
      <c r="F733" s="639"/>
    </row>
    <row r="734" spans="2:6" hidden="1" x14ac:dyDescent="0.25">
      <c r="B734" s="657"/>
      <c r="C734" s="657"/>
      <c r="D734" s="655"/>
      <c r="E734" s="655"/>
      <c r="F734" s="639"/>
    </row>
    <row r="735" spans="2:6" hidden="1" x14ac:dyDescent="0.25">
      <c r="B735" s="657"/>
      <c r="C735" s="657"/>
      <c r="D735" s="655"/>
      <c r="E735" s="655"/>
      <c r="F735" s="639"/>
    </row>
    <row r="736" spans="2:6" hidden="1" x14ac:dyDescent="0.25">
      <c r="B736" s="657"/>
      <c r="C736" s="657"/>
      <c r="D736" s="658"/>
      <c r="E736" s="659"/>
    </row>
    <row r="737" spans="2:5" ht="36" hidden="1" x14ac:dyDescent="0.25">
      <c r="B737" s="657" t="s">
        <v>601</v>
      </c>
      <c r="C737" s="657"/>
      <c r="D737" s="658">
        <f>D675</f>
        <v>4191873.36</v>
      </c>
      <c r="E737" s="659"/>
    </row>
    <row r="738" spans="2:5" hidden="1" x14ac:dyDescent="0.25">
      <c r="B738" s="657"/>
      <c r="C738" s="657"/>
      <c r="D738" s="658"/>
      <c r="E738" s="659"/>
    </row>
    <row r="739" spans="2:5" ht="28.5" hidden="1" customHeight="1" x14ac:dyDescent="0.25">
      <c r="B739" s="660" t="s">
        <v>602</v>
      </c>
      <c r="C739" s="660"/>
      <c r="D739" s="658">
        <f>D676</f>
        <v>1414191.05</v>
      </c>
      <c r="E739" s="659"/>
    </row>
    <row r="740" spans="2:5" hidden="1" x14ac:dyDescent="0.25">
      <c r="B740" s="661"/>
      <c r="C740" s="661"/>
      <c r="D740" s="658"/>
      <c r="E740" s="659"/>
    </row>
    <row r="741" spans="2:5" ht="90" hidden="1" x14ac:dyDescent="0.25">
      <c r="B741" s="656" t="s">
        <v>603</v>
      </c>
      <c r="C741" s="656"/>
      <c r="D741" s="658">
        <f>+D681</f>
        <v>3442979.9277973007</v>
      </c>
      <c r="E741" s="659"/>
    </row>
    <row r="742" spans="2:5" hidden="1" x14ac:dyDescent="0.25">
      <c r="B742" s="661"/>
      <c r="C742" s="661"/>
      <c r="D742" s="658"/>
      <c r="E742" s="659"/>
    </row>
    <row r="743" spans="2:5" ht="36" hidden="1" x14ac:dyDescent="0.25">
      <c r="B743" s="656" t="s">
        <v>604</v>
      </c>
      <c r="C743" s="656"/>
      <c r="D743" s="658"/>
      <c r="E743" s="659"/>
    </row>
    <row r="744" spans="2:5" hidden="1" x14ac:dyDescent="0.25">
      <c r="B744" s="661"/>
      <c r="C744" s="661"/>
      <c r="D744" s="658"/>
      <c r="E744" s="659"/>
    </row>
    <row r="745" spans="2:5" hidden="1" x14ac:dyDescent="0.25">
      <c r="B745" s="662" t="s">
        <v>605</v>
      </c>
      <c r="C745" s="662"/>
      <c r="D745" s="658">
        <f>+D684</f>
        <v>3515557.79</v>
      </c>
      <c r="E745" s="659"/>
    </row>
    <row r="746" spans="2:5" hidden="1" x14ac:dyDescent="0.25">
      <c r="B746" s="661"/>
      <c r="C746" s="661"/>
      <c r="D746" s="658"/>
      <c r="E746" s="659"/>
    </row>
    <row r="747" spans="2:5" hidden="1" x14ac:dyDescent="0.25">
      <c r="B747" s="661"/>
      <c r="C747" s="661"/>
      <c r="D747" s="658"/>
      <c r="E747" s="659"/>
    </row>
    <row r="748" spans="2:5" hidden="1" x14ac:dyDescent="0.25">
      <c r="B748" s="661"/>
      <c r="C748" s="661"/>
      <c r="D748" s="658"/>
      <c r="E748" s="659"/>
    </row>
    <row r="749" spans="2:5" hidden="1" x14ac:dyDescent="0.25">
      <c r="B749" s="661"/>
      <c r="C749" s="661"/>
      <c r="D749" s="658"/>
      <c r="E749" s="659"/>
    </row>
    <row r="750" spans="2:5" hidden="1" x14ac:dyDescent="0.25">
      <c r="B750" s="661"/>
      <c r="C750" s="661"/>
      <c r="D750" s="658"/>
      <c r="E750" s="659"/>
    </row>
    <row r="751" spans="2:5" hidden="1" x14ac:dyDescent="0.25">
      <c r="B751" s="661"/>
      <c r="C751" s="661"/>
      <c r="D751" s="658"/>
      <c r="E751" s="659"/>
    </row>
    <row r="752" spans="2:5" hidden="1" x14ac:dyDescent="0.25">
      <c r="B752" s="663"/>
      <c r="C752" s="663"/>
      <c r="D752" s="658"/>
      <c r="E752" s="664"/>
    </row>
    <row r="753" spans="2:6" ht="36" hidden="1" x14ac:dyDescent="0.25">
      <c r="B753" s="656" t="s">
        <v>606</v>
      </c>
      <c r="C753" s="656"/>
      <c r="D753" s="658"/>
      <c r="E753" s="659"/>
    </row>
    <row r="754" spans="2:6" hidden="1" x14ac:dyDescent="0.25">
      <c r="B754" s="656"/>
      <c r="C754" s="656"/>
      <c r="D754" s="658"/>
      <c r="E754" s="659"/>
    </row>
    <row r="755" spans="2:6" hidden="1" x14ac:dyDescent="0.25">
      <c r="B755" s="665"/>
      <c r="C755" s="665"/>
      <c r="D755" s="658"/>
      <c r="E755" s="659"/>
    </row>
    <row r="756" spans="2:6" hidden="1" x14ac:dyDescent="0.25">
      <c r="B756" s="665"/>
      <c r="C756" s="665"/>
      <c r="D756" s="658"/>
      <c r="E756" s="659"/>
    </row>
    <row r="757" spans="2:6" hidden="1" x14ac:dyDescent="0.25">
      <c r="B757" s="665"/>
      <c r="C757" s="665"/>
      <c r="D757" s="659"/>
      <c r="E757" s="659"/>
      <c r="F757" s="430"/>
    </row>
    <row r="758" spans="2:6" hidden="1" x14ac:dyDescent="0.25">
      <c r="B758" s="665"/>
      <c r="C758" s="665"/>
      <c r="D758" s="658"/>
      <c r="E758" s="659"/>
    </row>
    <row r="759" spans="2:6" hidden="1" x14ac:dyDescent="0.25">
      <c r="B759" s="666"/>
      <c r="C759" s="666"/>
      <c r="D759" s="658"/>
      <c r="E759" s="659"/>
    </row>
    <row r="760" spans="2:6" ht="54" hidden="1" x14ac:dyDescent="0.25">
      <c r="B760" s="656" t="s">
        <v>607</v>
      </c>
      <c r="C760" s="656"/>
      <c r="D760" s="658"/>
      <c r="E760" s="659"/>
    </row>
    <row r="761" spans="2:6" hidden="1" x14ac:dyDescent="0.25">
      <c r="B761" s="661"/>
      <c r="C761" s="661"/>
      <c r="D761" s="658"/>
      <c r="E761" s="659"/>
    </row>
    <row r="762" spans="2:6" ht="36" hidden="1" x14ac:dyDescent="0.25">
      <c r="B762" s="661" t="s">
        <v>608</v>
      </c>
      <c r="C762" s="661"/>
      <c r="D762" s="658">
        <f>+D695</f>
        <v>2943237.58</v>
      </c>
      <c r="E762" s="659"/>
    </row>
    <row r="763" spans="2:6" hidden="1" x14ac:dyDescent="0.25">
      <c r="B763" s="661"/>
      <c r="C763" s="661"/>
      <c r="D763" s="658"/>
      <c r="E763" s="659"/>
    </row>
    <row r="764" spans="2:6" hidden="1" x14ac:dyDescent="0.25">
      <c r="B764" s="661"/>
      <c r="C764" s="661"/>
      <c r="D764" s="658"/>
      <c r="E764" s="659"/>
    </row>
    <row r="765" spans="2:6" ht="36" hidden="1" x14ac:dyDescent="0.25">
      <c r="B765" s="654" t="s">
        <v>609</v>
      </c>
      <c r="C765" s="654"/>
      <c r="D765" s="658"/>
      <c r="E765" s="659"/>
    </row>
    <row r="766" spans="2:6" ht="36" hidden="1" x14ac:dyDescent="0.25">
      <c r="B766" s="661" t="s">
        <v>610</v>
      </c>
      <c r="C766" s="661"/>
      <c r="D766" s="658">
        <f>+D703</f>
        <v>257628.32</v>
      </c>
      <c r="E766" s="659"/>
    </row>
    <row r="767" spans="2:6" hidden="1" x14ac:dyDescent="0.25">
      <c r="B767" s="661"/>
      <c r="C767" s="661"/>
      <c r="D767" s="658"/>
      <c r="E767" s="659"/>
    </row>
    <row r="768" spans="2:6" hidden="1" x14ac:dyDescent="0.25">
      <c r="B768" s="654" t="s">
        <v>611</v>
      </c>
      <c r="C768" s="654"/>
      <c r="D768" s="658"/>
      <c r="E768" s="659"/>
    </row>
    <row r="769" spans="2:8" hidden="1" x14ac:dyDescent="0.25">
      <c r="B769" s="662"/>
      <c r="C769" s="662"/>
      <c r="D769" s="658"/>
      <c r="E769" s="659"/>
    </row>
    <row r="770" spans="2:8" hidden="1" x14ac:dyDescent="0.25">
      <c r="B770" s="711" t="s">
        <v>612</v>
      </c>
      <c r="C770" s="657"/>
      <c r="D770" s="658">
        <f>+D704</f>
        <v>3415685.26</v>
      </c>
      <c r="E770" s="659"/>
    </row>
    <row r="771" spans="2:8" hidden="1" x14ac:dyDescent="0.25">
      <c r="B771" s="711"/>
      <c r="C771" s="657"/>
      <c r="D771" s="658"/>
      <c r="E771" s="659"/>
    </row>
    <row r="772" spans="2:8" ht="36" hidden="1" x14ac:dyDescent="0.25">
      <c r="B772" s="654" t="s">
        <v>613</v>
      </c>
      <c r="C772" s="654"/>
      <c r="D772" s="658">
        <f>+D705</f>
        <v>5810416.2999999998</v>
      </c>
      <c r="E772" s="659"/>
    </row>
    <row r="773" spans="2:8" x14ac:dyDescent="0.25">
      <c r="B773" s="103"/>
      <c r="C773" s="103"/>
      <c r="D773" s="495"/>
    </row>
    <row r="774" spans="2:8" x14ac:dyDescent="0.25">
      <c r="B774" s="103"/>
      <c r="C774" s="103"/>
      <c r="D774" s="623"/>
    </row>
    <row r="775" spans="2:8" x14ac:dyDescent="0.25">
      <c r="B775" s="103"/>
      <c r="C775" s="103"/>
      <c r="D775" s="623"/>
    </row>
    <row r="776" spans="2:8" x14ac:dyDescent="0.25">
      <c r="B776" s="199" t="s">
        <v>614</v>
      </c>
      <c r="C776" s="199"/>
      <c r="D776" s="623"/>
    </row>
    <row r="777" spans="2:8" x14ac:dyDescent="0.25">
      <c r="D777" s="623"/>
    </row>
    <row r="778" spans="2:8" x14ac:dyDescent="0.25">
      <c r="B778" s="199" t="s">
        <v>615</v>
      </c>
      <c r="C778" s="632"/>
      <c r="D778" s="623"/>
    </row>
    <row r="779" spans="2:8" x14ac:dyDescent="0.25">
      <c r="B779" s="199"/>
      <c r="C779" s="199"/>
    </row>
    <row r="780" spans="2:8" x14ac:dyDescent="0.25">
      <c r="D780" s="339">
        <v>2022</v>
      </c>
      <c r="E780" s="339" t="s">
        <v>408</v>
      </c>
      <c r="F780" s="340" t="s">
        <v>34</v>
      </c>
      <c r="G780" s="341" t="s">
        <v>155</v>
      </c>
    </row>
    <row r="781" spans="2:8" x14ac:dyDescent="0.25">
      <c r="B781" s="633" t="s">
        <v>616</v>
      </c>
      <c r="C781" s="633"/>
      <c r="D781" s="332">
        <v>17176294.021163873</v>
      </c>
      <c r="E781" s="321">
        <v>16305502.742031943</v>
      </c>
      <c r="F781" s="344">
        <f>+D781-E781</f>
        <v>870791.27913193032</v>
      </c>
      <c r="G781" s="322">
        <f>+D781/E781-1</f>
        <v>5.3404748869669838E-2</v>
      </c>
      <c r="H781" s="667"/>
    </row>
    <row r="782" spans="2:8" ht="18.75" thickBot="1" x14ac:dyDescent="0.3">
      <c r="B782" s="199" t="s">
        <v>617</v>
      </c>
      <c r="C782" s="199"/>
      <c r="D782" s="483">
        <f>+D781</f>
        <v>17176294.021163873</v>
      </c>
      <c r="E782" s="484">
        <f>+E781</f>
        <v>16305502.742031943</v>
      </c>
      <c r="F782" s="668">
        <f>+F781</f>
        <v>870791.27913193032</v>
      </c>
      <c r="G782" s="631">
        <f>+G781</f>
        <v>5.3404748869669838E-2</v>
      </c>
    </row>
    <row r="783" spans="2:8" hidden="1" x14ac:dyDescent="0.25">
      <c r="D783" s="623"/>
    </row>
    <row r="784" spans="2:8" hidden="1" x14ac:dyDescent="0.25">
      <c r="D784" s="623"/>
    </row>
    <row r="785" spans="2:10" x14ac:dyDescent="0.25">
      <c r="D785" s="623"/>
    </row>
    <row r="786" spans="2:10" x14ac:dyDescent="0.25">
      <c r="B786" s="199" t="s">
        <v>618</v>
      </c>
      <c r="C786" s="199"/>
      <c r="D786" s="623"/>
    </row>
    <row r="787" spans="2:10" x14ac:dyDescent="0.25">
      <c r="B787" s="199"/>
      <c r="C787" s="199"/>
      <c r="D787" s="623"/>
    </row>
    <row r="788" spans="2:10" ht="18.75" x14ac:dyDescent="0.3">
      <c r="B788" s="196" t="s">
        <v>619</v>
      </c>
      <c r="C788" s="196"/>
      <c r="H788" s="638"/>
    </row>
    <row r="789" spans="2:10" ht="18.75" x14ac:dyDescent="0.3">
      <c r="D789" s="339">
        <v>2022</v>
      </c>
      <c r="E789" s="339" t="s">
        <v>408</v>
      </c>
      <c r="F789" s="340" t="s">
        <v>34</v>
      </c>
      <c r="G789" s="341" t="s">
        <v>155</v>
      </c>
      <c r="H789" s="638"/>
    </row>
    <row r="790" spans="2:10" ht="18.75" x14ac:dyDescent="0.3">
      <c r="D790" s="669"/>
      <c r="E790" s="669"/>
      <c r="F790" s="670"/>
      <c r="G790" s="671"/>
      <c r="H790" s="638"/>
    </row>
    <row r="791" spans="2:10" ht="28.5" customHeight="1" x14ac:dyDescent="0.3">
      <c r="B791" s="646" t="s">
        <v>620</v>
      </c>
      <c r="C791" s="646"/>
      <c r="D791" s="323">
        <v>1389959.988224945</v>
      </c>
      <c r="E791" s="321">
        <v>379079.99133407575</v>
      </c>
      <c r="F791" s="672">
        <f t="shared" ref="F791:F821" si="26">+D791-E791</f>
        <v>1010879.9968908692</v>
      </c>
      <c r="G791" s="322">
        <f>+D791/E791-1</f>
        <v>2.6666667194259817</v>
      </c>
      <c r="H791" s="638"/>
      <c r="I791" s="673"/>
      <c r="J791" s="207"/>
    </row>
    <row r="792" spans="2:10" ht="18.75" x14ac:dyDescent="0.3">
      <c r="B792" s="646" t="s">
        <v>621</v>
      </c>
      <c r="C792" s="646"/>
      <c r="D792" s="323"/>
      <c r="F792" s="672">
        <f t="shared" si="26"/>
        <v>0</v>
      </c>
      <c r="G792" s="322">
        <v>1</v>
      </c>
      <c r="I792" s="673"/>
      <c r="J792" s="207"/>
    </row>
    <row r="793" spans="2:10" ht="18.75" x14ac:dyDescent="0.3">
      <c r="B793" s="646" t="s">
        <v>622</v>
      </c>
      <c r="C793" s="646"/>
      <c r="D793" s="323"/>
      <c r="E793" s="321">
        <v>25499.99</v>
      </c>
      <c r="F793" s="672">
        <f t="shared" si="26"/>
        <v>-25499.99</v>
      </c>
      <c r="G793" s="322">
        <f t="shared" ref="G793:G833" si="27">+D793/E793-1</f>
        <v>-1</v>
      </c>
      <c r="I793" s="673"/>
      <c r="J793" s="207"/>
    </row>
    <row r="794" spans="2:10" ht="18.75" x14ac:dyDescent="0.3">
      <c r="B794" s="646" t="s">
        <v>623</v>
      </c>
      <c r="C794" s="646"/>
      <c r="D794" s="323"/>
      <c r="E794" s="321">
        <v>72163</v>
      </c>
      <c r="F794" s="672">
        <f t="shared" si="26"/>
        <v>-72163</v>
      </c>
      <c r="G794" s="322">
        <f t="shared" si="27"/>
        <v>-1</v>
      </c>
      <c r="I794" s="673"/>
      <c r="J794" s="207"/>
    </row>
    <row r="795" spans="2:10" ht="18.75" x14ac:dyDescent="0.3">
      <c r="B795" s="646" t="s">
        <v>624</v>
      </c>
      <c r="C795" s="646"/>
      <c r="D795" s="323"/>
      <c r="E795" s="321">
        <v>7972.8</v>
      </c>
      <c r="F795" s="672">
        <f t="shared" si="26"/>
        <v>-7972.8</v>
      </c>
      <c r="G795" s="322">
        <f t="shared" si="27"/>
        <v>-1</v>
      </c>
      <c r="I795" s="673"/>
      <c r="J795" s="207"/>
    </row>
    <row r="796" spans="2:10" ht="18.75" x14ac:dyDescent="0.3">
      <c r="B796" s="646" t="s">
        <v>625</v>
      </c>
      <c r="C796" s="646"/>
      <c r="D796" s="323">
        <v>376288.53268424579</v>
      </c>
      <c r="E796" s="321">
        <v>73998.37</v>
      </c>
      <c r="F796" s="672">
        <f t="shared" si="26"/>
        <v>302290.16268424579</v>
      </c>
      <c r="G796" s="322">
        <f t="shared" si="27"/>
        <v>4.0850921808716301</v>
      </c>
      <c r="I796" s="673"/>
      <c r="J796" s="207"/>
    </row>
    <row r="797" spans="2:10" ht="18.75" x14ac:dyDescent="0.3">
      <c r="B797" s="646" t="s">
        <v>626</v>
      </c>
      <c r="C797" s="646"/>
      <c r="D797" s="323"/>
      <c r="F797" s="672">
        <f t="shared" si="26"/>
        <v>0</v>
      </c>
      <c r="G797" s="322">
        <v>1</v>
      </c>
      <c r="H797" s="638"/>
      <c r="I797" s="673"/>
      <c r="J797" s="207"/>
    </row>
    <row r="798" spans="2:10" ht="18.75" x14ac:dyDescent="0.3">
      <c r="B798" s="646" t="s">
        <v>627</v>
      </c>
      <c r="C798" s="646"/>
      <c r="D798" s="323"/>
      <c r="E798" s="321">
        <v>704920.04554975603</v>
      </c>
      <c r="F798" s="672">
        <f t="shared" si="26"/>
        <v>-704920.04554975603</v>
      </c>
      <c r="G798" s="322">
        <f t="shared" si="27"/>
        <v>-1</v>
      </c>
      <c r="H798" s="638"/>
      <c r="I798" s="673"/>
      <c r="J798" s="207"/>
    </row>
    <row r="799" spans="2:10" ht="18.75" x14ac:dyDescent="0.3">
      <c r="B799" s="646" t="s">
        <v>628</v>
      </c>
      <c r="C799" s="646"/>
      <c r="D799" s="323">
        <v>10937.32</v>
      </c>
      <c r="E799" s="321">
        <v>4299.99</v>
      </c>
      <c r="F799" s="672">
        <f t="shared" si="26"/>
        <v>6637.33</v>
      </c>
      <c r="G799" s="322">
        <f t="shared" si="27"/>
        <v>1.5435687059737351</v>
      </c>
      <c r="I799" s="673"/>
      <c r="J799" s="207"/>
    </row>
    <row r="800" spans="2:10" ht="18.75" x14ac:dyDescent="0.3">
      <c r="B800" s="646" t="s">
        <v>629</v>
      </c>
      <c r="C800" s="646"/>
      <c r="D800" s="323">
        <v>163986.57</v>
      </c>
      <c r="E800" s="321">
        <v>2142260.7690384081</v>
      </c>
      <c r="F800" s="672">
        <f t="shared" si="26"/>
        <v>-1978274.199038408</v>
      </c>
      <c r="G800" s="322">
        <f t="shared" si="27"/>
        <v>-0.92345162999292174</v>
      </c>
      <c r="I800" s="673"/>
      <c r="J800" s="207"/>
    </row>
    <row r="801" spans="2:10" ht="18.75" x14ac:dyDescent="0.3">
      <c r="B801" s="646" t="s">
        <v>630</v>
      </c>
      <c r="C801" s="646"/>
      <c r="D801" s="323"/>
      <c r="F801" s="672">
        <f t="shared" si="26"/>
        <v>0</v>
      </c>
      <c r="G801" s="322">
        <v>1</v>
      </c>
      <c r="I801" s="673"/>
      <c r="J801" s="207"/>
    </row>
    <row r="802" spans="2:10" ht="18.75" x14ac:dyDescent="0.3">
      <c r="B802" s="646" t="s">
        <v>631</v>
      </c>
      <c r="C802" s="646"/>
      <c r="D802" s="323">
        <v>3646624.8</v>
      </c>
      <c r="F802" s="672"/>
      <c r="G802" s="322">
        <v>1</v>
      </c>
      <c r="I802" s="673"/>
      <c r="J802" s="207"/>
    </row>
    <row r="803" spans="2:10" ht="18.75" x14ac:dyDescent="0.3">
      <c r="B803" s="646" t="s">
        <v>632</v>
      </c>
      <c r="C803" s="646"/>
      <c r="D803" s="323"/>
      <c r="E803" s="321">
        <v>44412.2</v>
      </c>
      <c r="F803" s="672">
        <f t="shared" si="26"/>
        <v>-44412.2</v>
      </c>
      <c r="G803" s="322">
        <f t="shared" si="27"/>
        <v>-1</v>
      </c>
      <c r="I803" s="673"/>
      <c r="J803" s="207"/>
    </row>
    <row r="804" spans="2:10" s="10" customFormat="1" ht="18.75" x14ac:dyDescent="0.3">
      <c r="B804" s="646" t="s">
        <v>633</v>
      </c>
      <c r="C804" s="646"/>
      <c r="D804" s="323">
        <v>75815</v>
      </c>
      <c r="E804" s="321">
        <v>6763723.5937111368</v>
      </c>
      <c r="F804" s="672">
        <f t="shared" si="26"/>
        <v>-6687908.5937111368</v>
      </c>
      <c r="G804" s="322">
        <f t="shared" si="27"/>
        <v>-0.98879093757313019</v>
      </c>
      <c r="I804" s="673"/>
      <c r="J804" s="207"/>
    </row>
    <row r="805" spans="2:10" ht="18.75" x14ac:dyDescent="0.3">
      <c r="B805" s="646" t="s">
        <v>634</v>
      </c>
      <c r="C805" s="646"/>
      <c r="D805" s="323">
        <v>426708.34228689008</v>
      </c>
      <c r="E805" s="321">
        <v>4130</v>
      </c>
      <c r="F805" s="672">
        <f t="shared" si="26"/>
        <v>422578.34228689008</v>
      </c>
      <c r="G805" s="322">
        <f t="shared" si="27"/>
        <v>102.31921120747944</v>
      </c>
      <c r="I805" s="673"/>
      <c r="J805" s="207"/>
    </row>
    <row r="806" spans="2:10" s="10" customFormat="1" ht="18.75" x14ac:dyDescent="0.3">
      <c r="B806" s="646" t="s">
        <v>635</v>
      </c>
      <c r="C806" s="646"/>
      <c r="D806" s="323">
        <v>3663095.9565781425</v>
      </c>
      <c r="E806" s="321">
        <v>1206530.6274917503</v>
      </c>
      <c r="F806" s="672">
        <f t="shared" si="26"/>
        <v>2456565.3290863922</v>
      </c>
      <c r="G806" s="322">
        <f t="shared" si="27"/>
        <v>2.0360571651573669</v>
      </c>
      <c r="I806" s="673"/>
      <c r="J806" s="207"/>
    </row>
    <row r="807" spans="2:10" s="10" customFormat="1" ht="18.75" x14ac:dyDescent="0.3">
      <c r="B807" s="646" t="s">
        <v>636</v>
      </c>
      <c r="C807" s="646"/>
      <c r="D807" s="323"/>
      <c r="E807" s="321">
        <v>368659.25</v>
      </c>
      <c r="F807" s="672">
        <f t="shared" si="26"/>
        <v>-368659.25</v>
      </c>
      <c r="G807" s="322">
        <f t="shared" si="27"/>
        <v>-1</v>
      </c>
      <c r="I807" s="673"/>
      <c r="J807" s="207"/>
    </row>
    <row r="808" spans="2:10" ht="18.75" x14ac:dyDescent="0.3">
      <c r="B808" s="646" t="s">
        <v>637</v>
      </c>
      <c r="C808" s="646"/>
      <c r="D808" s="323"/>
      <c r="E808" s="321">
        <v>489405</v>
      </c>
      <c r="F808" s="672">
        <f t="shared" si="26"/>
        <v>-489405</v>
      </c>
      <c r="G808" s="322">
        <f t="shared" si="27"/>
        <v>-1</v>
      </c>
      <c r="I808" s="673"/>
      <c r="J808" s="207"/>
    </row>
    <row r="809" spans="2:10" ht="18.75" x14ac:dyDescent="0.3">
      <c r="B809" s="646" t="s">
        <v>638</v>
      </c>
      <c r="C809" s="646"/>
      <c r="D809" s="323">
        <v>1640398.1638319048</v>
      </c>
      <c r="F809" s="672"/>
      <c r="G809" s="322">
        <v>1</v>
      </c>
      <c r="I809" s="673"/>
      <c r="J809" s="207"/>
    </row>
    <row r="810" spans="2:10" ht="21.75" customHeight="1" x14ac:dyDescent="0.3">
      <c r="B810" s="646" t="s">
        <v>639</v>
      </c>
      <c r="C810" s="646"/>
      <c r="D810" s="323">
        <v>20898</v>
      </c>
      <c r="F810" s="672">
        <f t="shared" si="26"/>
        <v>20898</v>
      </c>
      <c r="G810" s="322">
        <v>1</v>
      </c>
      <c r="I810" s="673"/>
      <c r="J810" s="207"/>
    </row>
    <row r="811" spans="2:10" ht="15" customHeight="1" x14ac:dyDescent="0.3">
      <c r="B811" s="646" t="s">
        <v>640</v>
      </c>
      <c r="C811" s="646"/>
      <c r="D811" s="323">
        <v>7467194.05545092</v>
      </c>
      <c r="E811" s="321">
        <v>10469048.863208482</v>
      </c>
      <c r="F811" s="672">
        <f t="shared" si="26"/>
        <v>-3001854.807757562</v>
      </c>
      <c r="G811" s="322">
        <f t="shared" si="27"/>
        <v>-0.28673615406524855</v>
      </c>
      <c r="I811" s="673"/>
      <c r="J811" s="207"/>
    </row>
    <row r="812" spans="2:10" ht="15" customHeight="1" x14ac:dyDescent="0.3">
      <c r="B812" s="646" t="s">
        <v>641</v>
      </c>
      <c r="C812" s="646"/>
      <c r="D812" s="323">
        <v>46364.849999999991</v>
      </c>
      <c r="E812" s="321">
        <v>93868.41</v>
      </c>
      <c r="F812" s="672">
        <f t="shared" si="26"/>
        <v>-47503.560000000012</v>
      </c>
      <c r="G812" s="322">
        <f t="shared" si="27"/>
        <v>-0.5060654590825604</v>
      </c>
      <c r="I812" s="673"/>
      <c r="J812" s="207"/>
    </row>
    <row r="813" spans="2:10" ht="15" customHeight="1" x14ac:dyDescent="0.3">
      <c r="B813" s="646" t="s">
        <v>642</v>
      </c>
      <c r="C813" s="646"/>
      <c r="D813" s="323"/>
      <c r="F813" s="672">
        <f t="shared" si="26"/>
        <v>0</v>
      </c>
      <c r="G813" s="322">
        <v>1</v>
      </c>
      <c r="I813" s="673"/>
      <c r="J813" s="207"/>
    </row>
    <row r="814" spans="2:10" ht="15.75" customHeight="1" x14ac:dyDescent="0.3">
      <c r="B814" s="646" t="s">
        <v>643</v>
      </c>
      <c r="C814" s="646"/>
      <c r="D814" s="323">
        <v>1242919.0392502481</v>
      </c>
      <c r="F814" s="672">
        <f t="shared" si="26"/>
        <v>1242919.0392502481</v>
      </c>
      <c r="G814" s="322">
        <v>1</v>
      </c>
      <c r="I814" s="673"/>
      <c r="J814" s="673"/>
    </row>
    <row r="815" spans="2:10" ht="21.75" customHeight="1" x14ac:dyDescent="0.3">
      <c r="B815" s="646" t="s">
        <v>644</v>
      </c>
      <c r="C815" s="646"/>
      <c r="D815" s="323"/>
      <c r="F815" s="672">
        <f t="shared" si="26"/>
        <v>0</v>
      </c>
      <c r="G815" s="322">
        <v>1</v>
      </c>
      <c r="I815" s="673"/>
      <c r="J815" s="207"/>
    </row>
    <row r="816" spans="2:10" ht="15" customHeight="1" x14ac:dyDescent="0.3">
      <c r="B816" s="646" t="s">
        <v>645</v>
      </c>
      <c r="C816" s="646"/>
      <c r="D816" s="323">
        <v>291900</v>
      </c>
      <c r="E816" s="321">
        <v>156868.84</v>
      </c>
      <c r="F816" s="672">
        <f t="shared" si="26"/>
        <v>135031.16</v>
      </c>
      <c r="G816" s="322">
        <f t="shared" si="27"/>
        <v>0.86079019899681808</v>
      </c>
      <c r="I816" s="673"/>
      <c r="J816" s="207"/>
    </row>
    <row r="817" spans="2:7" ht="15" customHeight="1" x14ac:dyDescent="0.25">
      <c r="B817" s="646" t="s">
        <v>646</v>
      </c>
      <c r="C817" s="646"/>
      <c r="D817" s="323">
        <v>1717795.2639514855</v>
      </c>
      <c r="E817" s="321">
        <v>1241352.4371545624</v>
      </c>
      <c r="F817" s="672">
        <f t="shared" si="26"/>
        <v>476442.82679692307</v>
      </c>
      <c r="G817" s="322">
        <f t="shared" si="27"/>
        <v>0.38380947467991366</v>
      </c>
    </row>
    <row r="818" spans="2:7" ht="15" customHeight="1" x14ac:dyDescent="0.25">
      <c r="B818" s="646" t="s">
        <v>647</v>
      </c>
      <c r="C818" s="646"/>
      <c r="D818" s="323">
        <v>8569511.3975978717</v>
      </c>
      <c r="E818" s="321">
        <v>16823967.383876588</v>
      </c>
      <c r="F818" s="672">
        <f t="shared" si="26"/>
        <v>-8254455.9862787165</v>
      </c>
      <c r="G818" s="322">
        <f t="shared" si="27"/>
        <v>-0.49063670880564436</v>
      </c>
    </row>
    <row r="819" spans="2:7" ht="13.5" customHeight="1" x14ac:dyDescent="0.25">
      <c r="B819" s="646" t="s">
        <v>648</v>
      </c>
      <c r="C819" s="646"/>
      <c r="D819" s="323"/>
      <c r="E819" s="321">
        <v>15000</v>
      </c>
      <c r="F819" s="672">
        <f t="shared" si="26"/>
        <v>-15000</v>
      </c>
      <c r="G819" s="322">
        <f t="shared" si="27"/>
        <v>-1</v>
      </c>
    </row>
    <row r="820" spans="2:7" ht="15" customHeight="1" x14ac:dyDescent="0.25">
      <c r="B820" s="646" t="s">
        <v>649</v>
      </c>
      <c r="C820" s="646"/>
      <c r="D820" s="323">
        <v>571980</v>
      </c>
      <c r="E820" s="321">
        <v>66306.2</v>
      </c>
      <c r="F820" s="672">
        <f t="shared" si="26"/>
        <v>505673.8</v>
      </c>
      <c r="G820" s="322">
        <f t="shared" si="27"/>
        <v>7.6263426346254199</v>
      </c>
    </row>
    <row r="821" spans="2:7" ht="15" customHeight="1" x14ac:dyDescent="0.25">
      <c r="B821" s="646" t="s">
        <v>650</v>
      </c>
      <c r="C821" s="646"/>
      <c r="D821" s="323">
        <v>9381083.4199999999</v>
      </c>
      <c r="E821" s="321">
        <v>14174108.189999999</v>
      </c>
      <c r="F821" s="672">
        <f t="shared" si="26"/>
        <v>-4793024.7699999996</v>
      </c>
      <c r="G821" s="322">
        <f t="shared" si="27"/>
        <v>-0.33815353359455347</v>
      </c>
    </row>
    <row r="822" spans="2:7" ht="15" customHeight="1" x14ac:dyDescent="0.25">
      <c r="B822" s="646" t="s">
        <v>651</v>
      </c>
      <c r="C822" s="646"/>
      <c r="D822" s="323">
        <v>932968.8127130901</v>
      </c>
      <c r="F822" s="672"/>
      <c r="G822" s="322">
        <v>1</v>
      </c>
    </row>
    <row r="823" spans="2:7" ht="15" customHeight="1" x14ac:dyDescent="0.25">
      <c r="B823" s="646" t="s">
        <v>652</v>
      </c>
      <c r="C823" s="646"/>
      <c r="D823" s="323"/>
      <c r="F823" s="672"/>
      <c r="G823" s="322">
        <v>1</v>
      </c>
    </row>
    <row r="824" spans="2:7" x14ac:dyDescent="0.25">
      <c r="B824" s="646" t="s">
        <v>653</v>
      </c>
      <c r="C824" s="646"/>
      <c r="D824" s="323">
        <v>2214451.2200000002</v>
      </c>
      <c r="E824" s="321">
        <v>2895791.4710000004</v>
      </c>
      <c r="F824" s="672">
        <f t="shared" ref="F824:F832" si="28">+D824-E824</f>
        <v>-681340.25100000016</v>
      </c>
      <c r="G824" s="322">
        <f t="shared" si="27"/>
        <v>-0.23528636568734473</v>
      </c>
    </row>
    <row r="825" spans="2:7" ht="15" customHeight="1" x14ac:dyDescent="0.25">
      <c r="B825" s="646" t="s">
        <v>654</v>
      </c>
      <c r="C825" s="646"/>
      <c r="D825" s="323"/>
      <c r="F825" s="674">
        <f t="shared" si="28"/>
        <v>0</v>
      </c>
      <c r="G825" s="322">
        <v>1</v>
      </c>
    </row>
    <row r="826" spans="2:7" ht="15" customHeight="1" x14ac:dyDescent="0.25">
      <c r="B826" s="646" t="s">
        <v>655</v>
      </c>
      <c r="C826" s="646"/>
      <c r="D826" s="323"/>
      <c r="F826" s="674">
        <f t="shared" si="28"/>
        <v>0</v>
      </c>
      <c r="G826" s="322">
        <v>1</v>
      </c>
    </row>
    <row r="827" spans="2:7" ht="15" customHeight="1" x14ac:dyDescent="0.25">
      <c r="B827" s="646" t="s">
        <v>656</v>
      </c>
      <c r="C827" s="646"/>
      <c r="D827" s="323"/>
      <c r="F827" s="674">
        <f t="shared" si="28"/>
        <v>0</v>
      </c>
      <c r="G827" s="322">
        <v>1</v>
      </c>
    </row>
    <row r="828" spans="2:7" ht="15" customHeight="1" x14ac:dyDescent="0.25">
      <c r="B828" s="646" t="s">
        <v>657</v>
      </c>
      <c r="C828" s="646"/>
      <c r="D828" s="323"/>
      <c r="F828" s="674">
        <f t="shared" si="28"/>
        <v>0</v>
      </c>
      <c r="G828" s="322">
        <v>1</v>
      </c>
    </row>
    <row r="829" spans="2:7" ht="15" customHeight="1" x14ac:dyDescent="0.25">
      <c r="B829" s="646" t="s">
        <v>658</v>
      </c>
      <c r="C829" s="646"/>
      <c r="D829" s="323"/>
      <c r="F829" s="674">
        <f t="shared" si="28"/>
        <v>0</v>
      </c>
      <c r="G829" s="322">
        <v>1</v>
      </c>
    </row>
    <row r="830" spans="2:7" ht="15" customHeight="1" x14ac:dyDescent="0.25">
      <c r="B830" s="646" t="s">
        <v>659</v>
      </c>
      <c r="C830" s="646"/>
      <c r="D830" s="323">
        <v>941654.15999999992</v>
      </c>
      <c r="E830" s="321">
        <v>1118953.96</v>
      </c>
      <c r="F830" s="674">
        <f t="shared" si="28"/>
        <v>-177299.80000000005</v>
      </c>
      <c r="G830" s="322">
        <f t="shared" si="27"/>
        <v>-0.15845138078782084</v>
      </c>
    </row>
    <row r="831" spans="2:7" ht="15" customHeight="1" x14ac:dyDescent="0.25">
      <c r="B831" s="646" t="s">
        <v>660</v>
      </c>
      <c r="C831" s="646"/>
      <c r="D831" s="323"/>
      <c r="F831" s="674">
        <f t="shared" si="28"/>
        <v>0</v>
      </c>
      <c r="G831" s="322">
        <v>1</v>
      </c>
    </row>
    <row r="832" spans="2:7" ht="18.75" customHeight="1" x14ac:dyDescent="0.25">
      <c r="B832" s="646" t="s">
        <v>661</v>
      </c>
      <c r="C832" s="646"/>
      <c r="D832" s="323"/>
      <c r="F832" s="674">
        <f t="shared" si="28"/>
        <v>0</v>
      </c>
      <c r="G832" s="322">
        <v>1</v>
      </c>
    </row>
    <row r="833" spans="2:10" ht="15.75" customHeight="1" x14ac:dyDescent="0.25">
      <c r="B833" s="646" t="s">
        <v>662</v>
      </c>
      <c r="C833" s="646"/>
      <c r="D833" s="323">
        <v>1044112.73</v>
      </c>
      <c r="E833" s="321">
        <v>816056.68</v>
      </c>
      <c r="F833" s="674">
        <v>0</v>
      </c>
      <c r="G833" s="322">
        <f t="shared" si="27"/>
        <v>0.27946104184822063</v>
      </c>
    </row>
    <row r="834" spans="2:10" ht="15.75" customHeight="1" x14ac:dyDescent="0.25">
      <c r="B834" s="646" t="s">
        <v>663</v>
      </c>
      <c r="C834" s="646"/>
      <c r="D834" s="323"/>
      <c r="E834" s="321">
        <v>0</v>
      </c>
      <c r="F834" s="674">
        <f>+D834-E834</f>
        <v>0</v>
      </c>
      <c r="G834" s="322">
        <v>1</v>
      </c>
    </row>
    <row r="835" spans="2:10" ht="15.75" customHeight="1" x14ac:dyDescent="0.25">
      <c r="B835" s="646"/>
      <c r="C835" s="646"/>
      <c r="D835" s="323"/>
      <c r="E835" s="321">
        <v>937305</v>
      </c>
      <c r="F835" s="674"/>
    </row>
    <row r="836" spans="2:10" x14ac:dyDescent="0.25">
      <c r="B836" s="196" t="s">
        <v>162</v>
      </c>
      <c r="C836" s="196"/>
      <c r="D836" s="675">
        <f>SUM(D791:D835)</f>
        <v>45836647.622569732</v>
      </c>
      <c r="E836" s="482">
        <f>SUM(E791:E835)</f>
        <v>61095683.062364757</v>
      </c>
      <c r="F836" s="350">
        <f>SUM(F791:F834)</f>
        <v>-20769778.266340014</v>
      </c>
      <c r="G836" s="351">
        <f>+D836/E836-1</f>
        <v>-0.2497563604325207</v>
      </c>
      <c r="H836" s="667"/>
    </row>
    <row r="837" spans="2:10" x14ac:dyDescent="0.25">
      <c r="D837" s="323"/>
      <c r="F837" s="344"/>
    </row>
    <row r="838" spans="2:10" ht="18.75" x14ac:dyDescent="0.3">
      <c r="D838" s="323"/>
      <c r="F838" s="344"/>
      <c r="H838" s="638"/>
    </row>
    <row r="839" spans="2:10" ht="18.75" x14ac:dyDescent="0.3">
      <c r="B839" s="199" t="s">
        <v>664</v>
      </c>
      <c r="C839" s="199"/>
      <c r="H839" s="638"/>
    </row>
    <row r="840" spans="2:10" x14ac:dyDescent="0.25">
      <c r="D840" s="339">
        <v>2022</v>
      </c>
      <c r="E840" s="339" t="s">
        <v>408</v>
      </c>
      <c r="F840" s="340" t="s">
        <v>34</v>
      </c>
      <c r="G840" s="341" t="s">
        <v>155</v>
      </c>
      <c r="H840" s="336">
        <f>+H839+H829</f>
        <v>0</v>
      </c>
    </row>
    <row r="841" spans="2:10" ht="18.75" x14ac:dyDescent="0.3">
      <c r="B841" s="633" t="s">
        <v>665</v>
      </c>
      <c r="C841" s="633"/>
      <c r="D841" s="323">
        <v>0</v>
      </c>
      <c r="E841" s="321">
        <v>22546.105</v>
      </c>
      <c r="F841" s="344">
        <f>+D841-E841</f>
        <v>-22546.105</v>
      </c>
      <c r="G841" s="322">
        <f>+D841/E841-1</f>
        <v>-1</v>
      </c>
      <c r="H841" s="638"/>
    </row>
    <row r="842" spans="2:10" x14ac:dyDescent="0.25">
      <c r="B842" s="633" t="s">
        <v>666</v>
      </c>
      <c r="C842" s="633"/>
      <c r="D842" s="323">
        <v>1749052.2999999996</v>
      </c>
      <c r="E842" s="321">
        <v>3466602.3320000004</v>
      </c>
      <c r="F842" s="344">
        <f>+D842-E842</f>
        <v>-1717550.0320000008</v>
      </c>
      <c r="G842" s="322">
        <f>+D842/E842-1</f>
        <v>-0.49545631933187095</v>
      </c>
    </row>
    <row r="843" spans="2:10" x14ac:dyDescent="0.25">
      <c r="B843" s="633" t="s">
        <v>667</v>
      </c>
      <c r="C843" s="633"/>
      <c r="D843" s="323">
        <v>2463591.4260141701</v>
      </c>
      <c r="F843" s="344"/>
    </row>
    <row r="844" spans="2:10" x14ac:dyDescent="0.25">
      <c r="B844" s="676" t="s">
        <v>668</v>
      </c>
      <c r="C844" s="633"/>
      <c r="D844" s="323">
        <v>1194810.03</v>
      </c>
      <c r="E844" s="321">
        <v>0</v>
      </c>
      <c r="F844" s="344"/>
      <c r="H844" s="512"/>
      <c r="I844" s="438"/>
      <c r="J844" s="520"/>
    </row>
    <row r="845" spans="2:10" x14ac:dyDescent="0.25">
      <c r="D845" s="675">
        <f>SUM(D841:D844)</f>
        <v>5407453.7560141701</v>
      </c>
      <c r="E845" s="677">
        <f>SUM(E841:E842)</f>
        <v>3489148.4370000004</v>
      </c>
      <c r="F845" s="350">
        <f>SUM(F841:F842)</f>
        <v>-1740096.1370000008</v>
      </c>
      <c r="G845" s="351">
        <f>SUM(G841:G842)</f>
        <v>-1.4954563193318711</v>
      </c>
      <c r="H845" s="512"/>
      <c r="I845" s="438"/>
      <c r="J845" s="520"/>
    </row>
    <row r="847" spans="2:10" x14ac:dyDescent="0.25">
      <c r="B847" s="199" t="s">
        <v>669</v>
      </c>
      <c r="C847" s="199"/>
      <c r="D847" s="605"/>
      <c r="E847" s="473"/>
      <c r="F847" s="678"/>
    </row>
    <row r="848" spans="2:10" x14ac:dyDescent="0.25">
      <c r="B848" s="199"/>
      <c r="C848" s="199"/>
      <c r="D848" s="605"/>
      <c r="E848" s="473"/>
      <c r="F848" s="678"/>
    </row>
    <row r="849" spans="2:10" x14ac:dyDescent="0.25">
      <c r="B849" s="551" t="s">
        <v>670</v>
      </c>
      <c r="C849" s="551"/>
      <c r="D849" s="339">
        <v>2022</v>
      </c>
      <c r="E849" s="536" t="s">
        <v>408</v>
      </c>
      <c r="F849" s="679" t="s">
        <v>34</v>
      </c>
      <c r="G849" s="341" t="s">
        <v>155</v>
      </c>
    </row>
    <row r="850" spans="2:10" s="113" customFormat="1" x14ac:dyDescent="0.25">
      <c r="B850" s="4" t="s">
        <v>415</v>
      </c>
      <c r="C850" s="4"/>
      <c r="D850" s="323">
        <v>795855.32</v>
      </c>
      <c r="E850" s="323">
        <v>2726110.17242123</v>
      </c>
      <c r="F850" s="497">
        <f>+D850-E850</f>
        <v>-1930254.8524212302</v>
      </c>
      <c r="G850" s="322">
        <f>+D850/E850-1</f>
        <v>-0.70806193819630159</v>
      </c>
      <c r="I850" s="363"/>
      <c r="J850" s="111"/>
    </row>
    <row r="851" spans="2:10" s="113" customFormat="1" x14ac:dyDescent="0.25">
      <c r="B851" s="4" t="s">
        <v>671</v>
      </c>
      <c r="C851" s="4"/>
      <c r="D851" s="323">
        <v>2479497.94</v>
      </c>
      <c r="E851" s="323">
        <v>4090196.9402544498</v>
      </c>
      <c r="F851" s="497">
        <f>+D851-E851</f>
        <v>-1610699.0002544499</v>
      </c>
      <c r="G851" s="322">
        <f>+D851/E851-1</f>
        <v>-0.39379497461416835</v>
      </c>
      <c r="I851" s="363"/>
      <c r="J851" s="111"/>
    </row>
    <row r="852" spans="2:10" s="113" customFormat="1" ht="18.75" thickBot="1" x14ac:dyDescent="0.3">
      <c r="B852" s="551" t="s">
        <v>672</v>
      </c>
      <c r="C852" s="551"/>
      <c r="D852" s="680">
        <f>SUM(D850:D851)</f>
        <v>3275353.26</v>
      </c>
      <c r="E852" s="680">
        <f>SUM(E850:E851)</f>
        <v>6816307.1126756798</v>
      </c>
      <c r="F852" s="681">
        <f>SUM(F850:F851)</f>
        <v>-3540953.8526756801</v>
      </c>
      <c r="G852" s="682">
        <f>+D852/E852-1</f>
        <v>-0.51948273370647913</v>
      </c>
      <c r="I852" s="363"/>
      <c r="J852" s="111"/>
    </row>
    <row r="853" spans="2:10" s="113" customFormat="1" ht="18.75" thickTop="1" x14ac:dyDescent="0.25">
      <c r="B853" s="683"/>
      <c r="C853" s="683"/>
      <c r="D853" s="323"/>
      <c r="E853" s="321"/>
      <c r="G853" s="324"/>
      <c r="I853" s="363"/>
      <c r="J853" s="111"/>
    </row>
    <row r="854" spans="2:10" s="113" customFormat="1" ht="18.75" thickBot="1" x14ac:dyDescent="0.3">
      <c r="B854" s="199" t="s">
        <v>673</v>
      </c>
      <c r="C854" s="199"/>
      <c r="D854" s="483">
        <f>+D845+D836+D852</f>
        <v>54519454.638583899</v>
      </c>
      <c r="E854" s="483">
        <f>+E845+E836+E852</f>
        <v>71401138.61204043</v>
      </c>
      <c r="F854" s="485">
        <f>+F845+F836</f>
        <v>-22509874.403340016</v>
      </c>
      <c r="G854" s="631">
        <f>+D854/E854-1</f>
        <v>-0.23643438048213083</v>
      </c>
      <c r="I854" s="363"/>
      <c r="J854" s="111"/>
    </row>
    <row r="855" spans="2:10" s="113" customFormat="1" x14ac:dyDescent="0.25">
      <c r="D855" s="323"/>
      <c r="E855" s="321"/>
      <c r="G855" s="324"/>
      <c r="I855" s="363"/>
      <c r="J855" s="111"/>
    </row>
    <row r="856" spans="2:10" s="113" customFormat="1" x14ac:dyDescent="0.25">
      <c r="B856" s="684"/>
      <c r="C856" s="684"/>
      <c r="D856" s="323"/>
      <c r="E856" s="321"/>
      <c r="G856" s="324"/>
      <c r="I856" s="363"/>
      <c r="J856" s="111"/>
    </row>
    <row r="857" spans="2:10" s="113" customFormat="1" x14ac:dyDescent="0.25">
      <c r="D857" s="323"/>
      <c r="E857" s="321"/>
      <c r="G857" s="324"/>
      <c r="I857" s="363"/>
      <c r="J857" s="111"/>
    </row>
    <row r="858" spans="2:10" s="113" customFormat="1" x14ac:dyDescent="0.25">
      <c r="B858" s="325" t="s">
        <v>674</v>
      </c>
      <c r="C858" s="325"/>
      <c r="D858" s="323"/>
      <c r="E858" s="321"/>
      <c r="G858" s="324"/>
      <c r="I858" s="363"/>
      <c r="J858" s="111"/>
    </row>
    <row r="860" spans="2:10" x14ac:dyDescent="0.25">
      <c r="B860" s="622" t="s">
        <v>675</v>
      </c>
      <c r="C860" s="685"/>
    </row>
    <row r="861" spans="2:10" x14ac:dyDescent="0.25">
      <c r="D861" s="339">
        <v>2022</v>
      </c>
      <c r="E861" s="339" t="s">
        <v>408</v>
      </c>
      <c r="F861" s="340" t="s">
        <v>34</v>
      </c>
      <c r="G861" s="341" t="s">
        <v>155</v>
      </c>
    </row>
    <row r="862" spans="2:10" x14ac:dyDescent="0.25">
      <c r="B862" s="633" t="s">
        <v>676</v>
      </c>
      <c r="C862" s="633"/>
      <c r="D862" s="332">
        <v>551847.16999999981</v>
      </c>
      <c r="E862" s="321">
        <v>611968.3600000008</v>
      </c>
      <c r="F862" s="344">
        <f>+D862-E862</f>
        <v>-60121.190000000992</v>
      </c>
      <c r="G862" s="322">
        <f>+D862/E862-1</f>
        <v>-9.8242317625703568E-2</v>
      </c>
    </row>
    <row r="863" spans="2:10" ht="18.75" thickBot="1" x14ac:dyDescent="0.3">
      <c r="D863" s="686">
        <f>SUM(D862:D862)</f>
        <v>551847.16999999981</v>
      </c>
      <c r="E863" s="635">
        <f>SUM(E862:E862)</f>
        <v>611968.3600000008</v>
      </c>
      <c r="F863" s="687">
        <f>SUM(F862:F862)</f>
        <v>-60121.190000000992</v>
      </c>
      <c r="G863" s="688">
        <f>+D863/E863-1</f>
        <v>-9.8242317625703568E-2</v>
      </c>
    </row>
    <row r="864" spans="2:10" ht="18.75" thickTop="1" x14ac:dyDescent="0.25">
      <c r="D864" s="473"/>
      <c r="E864" s="473"/>
      <c r="F864" s="354"/>
      <c r="G864" s="355"/>
    </row>
    <row r="865" spans="2:10" ht="18.75" thickBot="1" x14ac:dyDescent="0.3">
      <c r="B865" s="199" t="s">
        <v>677</v>
      </c>
      <c r="C865" s="199"/>
      <c r="D865" s="637">
        <f>+D863+D857</f>
        <v>551847.16999999981</v>
      </c>
      <c r="E865" s="484">
        <f>+E863+E857</f>
        <v>611968.3600000008</v>
      </c>
      <c r="F865" s="668">
        <f>+F863+F857</f>
        <v>-60121.190000000992</v>
      </c>
      <c r="G865" s="631">
        <f>+D865/E865-1</f>
        <v>-9.8242317625703568E-2</v>
      </c>
      <c r="H865" s="512"/>
      <c r="I865" s="438"/>
      <c r="J865" s="520"/>
    </row>
    <row r="867" spans="2:10" hidden="1" x14ac:dyDescent="0.25"/>
    <row r="869" spans="2:10" x14ac:dyDescent="0.25">
      <c r="B869" s="199" t="s">
        <v>678</v>
      </c>
      <c r="C869" s="199"/>
    </row>
    <row r="872" spans="2:10" ht="72" x14ac:dyDescent="0.25">
      <c r="B872" s="685" t="s">
        <v>679</v>
      </c>
      <c r="C872" s="685"/>
    </row>
    <row r="873" spans="2:10" x14ac:dyDescent="0.25">
      <c r="D873" s="339">
        <v>2022</v>
      </c>
      <c r="E873" s="339" t="s">
        <v>408</v>
      </c>
      <c r="F873" s="340" t="s">
        <v>34</v>
      </c>
      <c r="G873" s="341" t="s">
        <v>155</v>
      </c>
    </row>
    <row r="874" spans="2:10" x14ac:dyDescent="0.25">
      <c r="B874" s="633" t="s">
        <v>680</v>
      </c>
      <c r="C874" s="633"/>
      <c r="D874" s="323">
        <v>127099.65</v>
      </c>
      <c r="E874" s="321">
        <v>49143.606861999826</v>
      </c>
      <c r="F874" s="344">
        <f>+D874-E874</f>
        <v>77956.043138000168</v>
      </c>
      <c r="G874" s="322">
        <f>+D874/E874-1</f>
        <v>1.5862906309849936</v>
      </c>
    </row>
    <row r="875" spans="2:10" ht="18.75" thickBot="1" x14ac:dyDescent="0.3">
      <c r="D875" s="686">
        <f>SUM(D874:D874)</f>
        <v>127099.65</v>
      </c>
      <c r="E875" s="635">
        <f>SUM(E874:E874)</f>
        <v>49143.606861999826</v>
      </c>
      <c r="F875" s="687">
        <f>SUM(F874:F874)</f>
        <v>77956.043138000168</v>
      </c>
      <c r="G875" s="688">
        <f>+D875/E875-1</f>
        <v>1.5862906309849936</v>
      </c>
      <c r="H875" s="512"/>
      <c r="I875" s="438"/>
      <c r="J875" s="520"/>
    </row>
    <row r="876" spans="2:10" ht="18.75" thickTop="1" x14ac:dyDescent="0.25">
      <c r="D876" s="473"/>
      <c r="E876" s="473"/>
      <c r="F876" s="354"/>
      <c r="G876" s="355"/>
      <c r="H876" s="512"/>
      <c r="I876" s="438"/>
      <c r="J876" s="520"/>
    </row>
    <row r="877" spans="2:10" ht="18.75" thickBot="1" x14ac:dyDescent="0.3">
      <c r="B877" s="199" t="s">
        <v>681</v>
      </c>
      <c r="C877" s="199"/>
      <c r="D877" s="637">
        <f>+D875</f>
        <v>127099.65</v>
      </c>
      <c r="E877" s="484">
        <f>+E875</f>
        <v>49143.606861999826</v>
      </c>
      <c r="F877" s="668">
        <f>+F875+F870</f>
        <v>77956.043138000168</v>
      </c>
      <c r="G877" s="631">
        <f>+D877/E877-1</f>
        <v>1.5862906309849936</v>
      </c>
    </row>
    <row r="879" spans="2:10" x14ac:dyDescent="0.25">
      <c r="D879" s="623"/>
    </row>
    <row r="880" spans="2:10" x14ac:dyDescent="0.25">
      <c r="D880" s="689"/>
    </row>
    <row r="885" spans="2:4" x14ac:dyDescent="0.25">
      <c r="B885" s="211"/>
      <c r="C885" s="211"/>
      <c r="D885" s="623"/>
    </row>
    <row r="886" spans="2:4" x14ac:dyDescent="0.25">
      <c r="B886" s="211"/>
      <c r="C886" s="211"/>
      <c r="D886" s="623"/>
    </row>
    <row r="887" spans="2:4" x14ac:dyDescent="0.25">
      <c r="B887" s="211"/>
      <c r="C887" s="211"/>
      <c r="D887" s="623"/>
    </row>
    <row r="888" spans="2:4" x14ac:dyDescent="0.25">
      <c r="B888" s="211"/>
      <c r="C888" s="211"/>
      <c r="D888" s="623"/>
    </row>
    <row r="889" spans="2:4" x14ac:dyDescent="0.25">
      <c r="B889" s="211"/>
      <c r="C889" s="211"/>
      <c r="D889" s="623"/>
    </row>
    <row r="890" spans="2:4" x14ac:dyDescent="0.25">
      <c r="B890" s="211"/>
      <c r="C890" s="211"/>
      <c r="D890" s="623"/>
    </row>
    <row r="891" spans="2:4" x14ac:dyDescent="0.25">
      <c r="B891" s="211"/>
      <c r="C891" s="211"/>
      <c r="D891" s="623"/>
    </row>
    <row r="892" spans="2:4" x14ac:dyDescent="0.25">
      <c r="B892" s="211"/>
      <c r="C892" s="211"/>
      <c r="D892" s="623"/>
    </row>
    <row r="893" spans="2:4" x14ac:dyDescent="0.25">
      <c r="B893" s="211"/>
      <c r="C893" s="211"/>
      <c r="D893" s="623"/>
    </row>
    <row r="894" spans="2:4" x14ac:dyDescent="0.25">
      <c r="B894" s="211"/>
      <c r="C894" s="211"/>
      <c r="D894" s="623"/>
    </row>
    <row r="895" spans="2:4" ht="18.75" x14ac:dyDescent="0.3">
      <c r="B895" s="245"/>
      <c r="C895" s="245"/>
      <c r="D895" s="690"/>
    </row>
    <row r="896" spans="2:4" ht="18.75" x14ac:dyDescent="0.3">
      <c r="B896" s="245"/>
      <c r="C896" s="245"/>
      <c r="D896" s="690"/>
    </row>
    <row r="897" spans="1:10" ht="18.75" x14ac:dyDescent="0.3">
      <c r="B897" s="245"/>
      <c r="C897" s="245"/>
      <c r="D897" s="690"/>
    </row>
    <row r="898" spans="1:10" s="113" customFormat="1" ht="18.75" x14ac:dyDescent="0.3">
      <c r="A898" s="110"/>
      <c r="B898" s="245"/>
      <c r="C898" s="245"/>
      <c r="D898" s="690"/>
      <c r="E898" s="321"/>
      <c r="F898" s="110"/>
      <c r="G898" s="322"/>
      <c r="H898" s="110"/>
      <c r="I898" s="363"/>
      <c r="J898" s="111"/>
    </row>
    <row r="899" spans="1:10" s="113" customFormat="1" ht="18.75" x14ac:dyDescent="0.3">
      <c r="A899" s="110"/>
      <c r="B899" s="245"/>
      <c r="C899" s="245"/>
      <c r="D899" s="690"/>
      <c r="E899" s="321"/>
      <c r="F899" s="110"/>
      <c r="G899" s="322"/>
      <c r="H899" s="110"/>
      <c r="I899" s="363"/>
      <c r="J899" s="111"/>
    </row>
    <row r="900" spans="1:10" s="113" customFormat="1" ht="18.75" x14ac:dyDescent="0.3">
      <c r="A900" s="110"/>
      <c r="B900" s="245"/>
      <c r="C900" s="245"/>
      <c r="D900" s="690"/>
      <c r="E900" s="321"/>
      <c r="F900" s="110"/>
      <c r="G900" s="322"/>
      <c r="H900" s="110"/>
      <c r="I900" s="363"/>
      <c r="J900" s="111"/>
    </row>
    <row r="901" spans="1:10" s="325" customFormat="1" ht="18.75" x14ac:dyDescent="0.3">
      <c r="B901" s="245"/>
      <c r="C901" s="245"/>
      <c r="D901" s="690"/>
      <c r="E901" s="321"/>
      <c r="F901" s="110"/>
      <c r="G901" s="322"/>
      <c r="H901" s="691"/>
      <c r="I901" s="457"/>
      <c r="J901" s="692"/>
    </row>
    <row r="902" spans="1:10" s="325" customFormat="1" x14ac:dyDescent="0.25">
      <c r="B902" s="693"/>
      <c r="C902" s="693"/>
      <c r="D902" s="694"/>
      <c r="E902" s="625"/>
      <c r="F902" s="691"/>
      <c r="G902" s="695"/>
      <c r="H902" s="696"/>
      <c r="I902" s="457"/>
      <c r="J902" s="692"/>
    </row>
    <row r="903" spans="1:10" s="325" customFormat="1" x14ac:dyDescent="0.25">
      <c r="B903" s="697"/>
      <c r="C903" s="697"/>
      <c r="D903" s="694"/>
      <c r="E903" s="625"/>
      <c r="F903" s="696"/>
      <c r="G903" s="698"/>
      <c r="H903" s="696"/>
      <c r="I903" s="457"/>
      <c r="J903" s="692"/>
    </row>
    <row r="904" spans="1:10" s="113" customFormat="1" x14ac:dyDescent="0.25">
      <c r="A904" s="4"/>
      <c r="B904" s="697"/>
      <c r="C904" s="697"/>
      <c r="D904" s="694"/>
      <c r="E904" s="625"/>
      <c r="F904" s="696"/>
      <c r="G904" s="698"/>
      <c r="I904" s="363"/>
      <c r="J904" s="111"/>
    </row>
    <row r="905" spans="1:10" x14ac:dyDescent="0.25">
      <c r="B905" s="113"/>
      <c r="C905" s="113"/>
      <c r="D905" s="323"/>
      <c r="F905" s="113"/>
      <c r="G905" s="699"/>
    </row>
    <row r="911" spans="1:10" s="113" customFormat="1" x14ac:dyDescent="0.25">
      <c r="A911" s="700"/>
      <c r="B911" s="110"/>
      <c r="C911" s="110"/>
      <c r="D911" s="320"/>
      <c r="E911" s="321"/>
      <c r="F911" s="110"/>
      <c r="G911" s="322"/>
      <c r="H911" s="110"/>
      <c r="I911" s="363"/>
      <c r="J911" s="111"/>
    </row>
    <row r="912" spans="1:10" s="113" customFormat="1" x14ac:dyDescent="0.25">
      <c r="A912" s="196"/>
      <c r="B912" s="700"/>
      <c r="C912" s="700"/>
      <c r="D912" s="629"/>
      <c r="E912" s="630"/>
      <c r="F912" s="110"/>
      <c r="G912" s="322"/>
      <c r="H912" s="110"/>
      <c r="I912" s="363"/>
      <c r="J912" s="111"/>
    </row>
    <row r="913" spans="1:10" s="113" customFormat="1" x14ac:dyDescent="0.25">
      <c r="A913" s="196"/>
      <c r="B913" s="196"/>
      <c r="C913" s="196"/>
      <c r="D913" s="629"/>
      <c r="E913" s="630"/>
      <c r="F913" s="110"/>
      <c r="G913" s="322"/>
      <c r="H913" s="110"/>
      <c r="I913" s="363"/>
      <c r="J913" s="111"/>
    </row>
    <row r="914" spans="1:10" x14ac:dyDescent="0.25">
      <c r="A914" s="196"/>
      <c r="B914" s="196"/>
      <c r="C914" s="196"/>
      <c r="D914" s="629"/>
      <c r="E914" s="630"/>
    </row>
    <row r="915" spans="1:10" x14ac:dyDescent="0.25">
      <c r="A915" s="196"/>
      <c r="B915" s="196"/>
      <c r="C915" s="196"/>
      <c r="D915" s="629"/>
      <c r="E915" s="630"/>
    </row>
    <row r="916" spans="1:10" x14ac:dyDescent="0.25">
      <c r="A916" s="700"/>
      <c r="B916" s="196"/>
      <c r="C916" s="196"/>
      <c r="D916" s="629"/>
      <c r="E916" s="630"/>
    </row>
    <row r="917" spans="1:10" x14ac:dyDescent="0.25">
      <c r="A917" s="700"/>
      <c r="B917" s="700"/>
      <c r="C917" s="700"/>
      <c r="D917" s="629"/>
      <c r="E917" s="630"/>
    </row>
    <row r="918" spans="1:10" x14ac:dyDescent="0.25">
      <c r="B918" s="700"/>
      <c r="C918" s="700"/>
      <c r="D918" s="629"/>
      <c r="E918" s="630"/>
    </row>
  </sheetData>
  <mergeCells count="61">
    <mergeCell ref="A7:G7"/>
    <mergeCell ref="A2:G2"/>
    <mergeCell ref="A3:G3"/>
    <mergeCell ref="A4:G4"/>
    <mergeCell ref="A5:G5"/>
    <mergeCell ref="A6:G6"/>
    <mergeCell ref="B59:H59"/>
    <mergeCell ref="B16:G16"/>
    <mergeCell ref="B21:G21"/>
    <mergeCell ref="B23:G23"/>
    <mergeCell ref="B25:G25"/>
    <mergeCell ref="B31:G31"/>
    <mergeCell ref="B35:G35"/>
    <mergeCell ref="B37:G37"/>
    <mergeCell ref="B42:G42"/>
    <mergeCell ref="B46:G48"/>
    <mergeCell ref="B52:G53"/>
    <mergeCell ref="B57:G58"/>
    <mergeCell ref="B148:G148"/>
    <mergeCell ref="B63:G64"/>
    <mergeCell ref="B68:G69"/>
    <mergeCell ref="B73:G74"/>
    <mergeCell ref="B75:G75"/>
    <mergeCell ref="B79:G80"/>
    <mergeCell ref="B90:G91"/>
    <mergeCell ref="B111:G112"/>
    <mergeCell ref="B113:G115"/>
    <mergeCell ref="B116:G117"/>
    <mergeCell ref="B119:G120"/>
    <mergeCell ref="B125:G128"/>
    <mergeCell ref="B416:G419"/>
    <mergeCell ref="B209:G212"/>
    <mergeCell ref="B232:G232"/>
    <mergeCell ref="B234:F234"/>
    <mergeCell ref="B334:F335"/>
    <mergeCell ref="B344:G344"/>
    <mergeCell ref="B366:G366"/>
    <mergeCell ref="B367:G368"/>
    <mergeCell ref="B392:G394"/>
    <mergeCell ref="B407:G407"/>
    <mergeCell ref="B411:E411"/>
    <mergeCell ref="B413:E413"/>
    <mergeCell ref="B568:F569"/>
    <mergeCell ref="B426:G426"/>
    <mergeCell ref="B466:G469"/>
    <mergeCell ref="B471:G471"/>
    <mergeCell ref="B474:C474"/>
    <mergeCell ref="B497:G500"/>
    <mergeCell ref="B501:G501"/>
    <mergeCell ref="B513:D513"/>
    <mergeCell ref="B515:D515"/>
    <mergeCell ref="B525:D525"/>
    <mergeCell ref="B526:D526"/>
    <mergeCell ref="B546:D546"/>
    <mergeCell ref="B770:B771"/>
    <mergeCell ref="B574:E575"/>
    <mergeCell ref="B577:D577"/>
    <mergeCell ref="B625:G625"/>
    <mergeCell ref="B627:G627"/>
    <mergeCell ref="B648:F650"/>
    <mergeCell ref="B720:F720"/>
  </mergeCells>
  <pageMargins left="0.70866141732283472" right="0.70866141732283472" top="0.74803149606299213" bottom="0.74803149606299213" header="0.31496062992125984" footer="0.31496062992125984"/>
  <pageSetup paperSize="9" scale="27" fitToHeight="0" orientation="portrait" r:id="rId1"/>
  <headerFooter>
    <oddFooter>Página &amp;P</oddFooter>
  </headerFooter>
  <rowBreaks count="7" manualBreakCount="7">
    <brk id="70" max="16383" man="1"/>
    <brk id="158" max="8" man="1"/>
    <brk id="345" max="16383" man="1"/>
    <brk id="442" max="16383" man="1"/>
    <brk id="602" max="16383" man="1"/>
    <brk id="773" max="16383" man="1"/>
    <brk id="8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1.Estado de Situación Comparat</vt:lpstr>
      <vt:lpstr>2.Est. de Rendimiento Comparat</vt:lpstr>
      <vt:lpstr>3.Cambio del Patrimonio f.</vt:lpstr>
      <vt:lpstr>4.Flujo de Efectivo Anual</vt:lpstr>
      <vt:lpstr>6.NOTA ACUMULADA</vt:lpstr>
      <vt:lpstr>'6.NOTA ACUMULADA'!_Toc180760083</vt:lpstr>
      <vt:lpstr>'6.NOTA ACUMULADA'!_Toc191191204</vt:lpstr>
      <vt:lpstr>'6.NOTA ACUMULADA'!_Toc191191207</vt:lpstr>
      <vt:lpstr>'6.NOTA ACUMULADA'!_Toc208202778</vt:lpstr>
      <vt:lpstr>'1.Estado de Situación Comparat'!Área_de_impresión</vt:lpstr>
      <vt:lpstr>'2.Est. de Rendimiento Comparat'!Área_de_impresión</vt:lpstr>
      <vt:lpstr>'3.Cambio del Patrimonio f.'!Área_de_impresión</vt:lpstr>
      <vt:lpstr>'4.Flujo de Efectivo Anual'!Área_de_impresión</vt:lpstr>
      <vt:lpstr>'6.NOTA ACUMULADA'!Área_de_impresión</vt:lpstr>
      <vt:lpstr>'6.NOTA ACUMULADA'!Títulos_a_imprimir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CHerrera</dc:creator>
  <cp:lastModifiedBy>Yokasta Burgos</cp:lastModifiedBy>
  <cp:lastPrinted>2023-01-25T13:44:36Z</cp:lastPrinted>
  <dcterms:created xsi:type="dcterms:W3CDTF">2023-01-20T01:56:45Z</dcterms:created>
  <dcterms:modified xsi:type="dcterms:W3CDTF">2023-01-25T20:07:48Z</dcterms:modified>
</cp:coreProperties>
</file>